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ME" sheetId="1" r:id="rId1"/>
    <sheet name="Assumptions" sheetId="2" r:id="rId2"/>
    <sheet name="PL" sheetId="3" r:id="rId3"/>
    <sheet name="BS" sheetId="4" r:id="rId4"/>
    <sheet name="Ratios" sheetId="5" r:id="rId5"/>
    <sheet name="Report" sheetId="6" r:id="rId6"/>
  </sheets>
  <definedNames>
    <definedName name="EntType">Assumptions!$C$3</definedName>
    <definedName name="BaseYear">Assumptions!$C$4</definedName>
    <definedName name="TaxOverride">Assumptions!$C$69</definedName>
    <definedName name="QuasiEq">Assumptions!$C$70</definedName>
    <definedName name="_xlnm.Print_Area" localSheetId="2">PL!$A$1:$H$27</definedName>
    <definedName name="_xlnm.Print_Area" localSheetId="3">BS!$A$1:$H$28</definedName>
    <definedName name="_xlnm.Print_Area" localSheetId="5">Report!$A$1:$F$60</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0.0%"/>
    <numFmt numFmtId="61" formatCode="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NumberFormat="1"/>
    <xf numFmtId="1" fontId="0" fillId="0" borderId="0" xfId="0" applyNumberFormat="1"/>
    <xf numFmtId="3" fontId="0" fillId="0" borderId="0" xfId="0" applyNumberFormat="1"/>
    <xf numFmtId="60" fontId="0" fillId="0" borderId="0" xfId="0" applyNumberFormat="1"/>
    <xf numFmtId="61" fontId="0" fillId="0" borderId="0" xfId="0" applyNumberFormat="1"/>
    <xf numFmtId="2"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60"/>
  <sheetViews>
    <sheetView workbookViewId="0"/>
  </sheetViews>
  <cols>
    <col min="1" max="1" width="110.83203125" customWidth="1"/>
  </cols>
  <sheetData>
    <row r="1">
      <c r="A1" t="str">
        <v>Provisional + Projected Financials — bank-ready workbook (tax year 2026-27 rates)</v>
      </c>
    </row>
    <row r="2">
      <c r="A2" t="str">
        <v>Built and maintained by CA Karan Gupta · cakarangupta.com/tools · rules verified 7 September 2026</v>
      </c>
    </row>
    <row r="3">
      <c r="A3" t="str">
        <v/>
      </c>
    </row>
    <row r="4">
      <c r="A4" t="str">
        <v>WHAT THIS DOES</v>
      </c>
    </row>
    <row r="5">
      <c r="A5" t="str">
        <v>1. One audited year plus a page of assumptions becomes a provisional year (the year in progress) and three projected years, side by side with the audited base.</v>
      </c>
    </row>
    <row r="6">
      <c r="A6" t="str">
        <v>2. The balance sheet balances by formula in every year, because bank working-capital finance is the balancing figure — and when the figure it needs is more than the sanctioned limit, the sheet says so in rupees instead of quietly balancing.</v>
      </c>
    </row>
    <row r="7">
      <c r="A7" t="str">
        <v>3. The six ratios a credit officer reads first — current ratio, TOL/TNW, debt-equity, DSCR, interest cover and an indicative MPBF — measured against benchmarks you can edit to your own sanction letter.</v>
      </c>
    </row>
    <row r="8">
      <c r="A8" t="str">
        <v/>
      </c>
    </row>
    <row r="9">
      <c r="A9" t="str">
        <v>HOW TO FILL IT</v>
      </c>
    </row>
    <row r="10">
      <c r="A10" t="str">
        <v>1. Type only on the Assumptions sheet. Every other sheet is formulas reading from it.</v>
      </c>
    </row>
    <row r="11">
      <c r="A11" t="str">
        <v>2. This copy was built without the optional styling module, so input rows are marked by a ▶ prefix on their label instead of by colour. Every other cell is a formula — do not type in it. If you overwrite one, copy it back from the column to the left.</v>
      </c>
    </row>
    <row r="12">
      <c r="A12" t="str">
        <v>3. Enter the audited year in sections A and B exactly as the signed accounts show it. Do not adjust or reclassify anything to make it balance — if it does not balance, the check row on the BS sheet tells you by how much, and that is the figure to go and find.</v>
      </c>
    </row>
    <row r="13">
      <c r="A13" t="str">
        <v>4. Set the assumptions in section C for each of the four years. Section E reads your own base year back at you — inventory days, debtor days, creditor days, material cost and overheads as percentages of sales — so section C starts from what the business actually did rather than from a guess.</v>
      </c>
    </row>
    <row r="14">
      <c r="A14" t="str">
        <v>5. Set the benchmarks in section D to your sanction letter or the bank's credit policy. They are bank norms, not law.</v>
      </c>
    </row>
    <row r="15">
      <c r="A15" t="str">
        <v>6. Read column H on every sheet. That is where the flags live: a funding gap beyond the CC limit, a loss year, a term-loan repayment larger than the loan, a surcharge that this workbook does not compute.</v>
      </c>
    </row>
    <row r="16">
      <c r="A16" t="str">
        <v>7. Print PL, BS and Report. Print areas are already set on all three.</v>
      </c>
    </row>
    <row r="17">
      <c r="A17" t="str">
        <v/>
      </c>
    </row>
    <row r="18">
      <c r="A18" t="str">
        <v>THREE THINGS TO SET ONCE, YOURSELF</v>
      </c>
    </row>
    <row r="19">
      <c r="A19" t="str">
        <v>1. Freeze panes. The builder cannot write them into the file. Open the Assumptions sheet, click cell A12, then View → Freeze Panes → Freeze Panes. Do the same on PL, BS and Ratios at A6 if you want the year headings to stay put.</v>
      </c>
    </row>
    <row r="20">
      <c r="A20" t="str">
        <v>2. Fit to one page wide. The PRINT AREAS and the margins are set on PL, BS and Report — but page orientation and print scale do not survive the writer that makes this file, so they are not in it. Before you print any of the three: File → Page Setup → A4, Portrait, and Fit to 1 page wide. That is one setting per sheet, once, and the file remembers it after you save.</v>
      </c>
    </row>
    <row r="21">
      <c r="A21" t="str">
        <v>3. A page break on the Report sheet. The writer cannot place one. Row 31 is left blank as the marker: click row 31, then Page Layout → Breaks → Insert Page Break, and the summary and assumptions print on page 1 with the accountant's reports on page 2.</v>
      </c>
    </row>
    <row r="22">
      <c r="A22" t="str">
        <v/>
      </c>
    </row>
    <row r="23">
      <c r="A23" t="str">
        <v>RULES ENCODED (verified 7 September 2026)</v>
      </c>
    </row>
    <row r="24">
      <c r="A24" t="str">
        <v>P1  A CA may sign provisional financial statements only as a COMPILATION under SRS 4410 (Revised), Compilation Engagements (ICAI). The report must say the statements were compiled from management's records, that management is responsible for them, and that the CA has not audited or reviewed them and expresses no opinion or conclusion. — SPEC P1. The Report sheet's paragraph is marked illustrative: VERIFY-WITH-CA against Appendix 2 of the standard before signing.</v>
      </c>
    </row>
    <row r="25">
      <c r="A25" t="str">
        <v>P2  UDIN is mandatory on provisional financial statements and compilation reports (ICAI UDIN FAQ, 9 Apr 2020), generated within 60 days of signing. — SPEC P2. The Report sheet prints a UDIN line and never names a portal category: which category a compilation report and an SAE 3400 report fall under after ICAI's 8 Jun 2026 rename is VERIFY-WITH-CA.</v>
      </c>
    </row>
    <row r="26">
      <c r="A26" t="str">
        <v>P3  Projected statements are prospective financial information. A CA reporting on them follows SAE 3400, The Examination of Prospective Financial Information: management is responsible for the projections including the assumptions, the examination is on a test basis, the assurance on the assumptions is NEGATIVE assurance, the opinion is that the projections are properly prepared on the basis of the assumptions, and the report must carry the caveat that actual results are likely to differ and the variation may be material. — SPEC P3, illustrative wording, VERIFY-WITH-CA.</v>
      </c>
    </row>
    <row r="27">
      <c r="A27" t="str">
        <v>P4  The projections must never be described as CERTIFIED. Clause (3), Part I, Second Schedule, Chartered Accountants Act, 1949: a member is guilty of professional misconduct if he permits his name or the name of his firm to be used in connection with an estimate of earnings contingent upon future transactions in a manner which may lead to the belief that he vouches for the accuracy of the forecast. The Report sheet therefore prints the assumptions above the management's signature, uses the words compiled and examined, and carries the clause on its face. — SPEC P4.</v>
      </c>
    </row>
    <row r="28">
      <c r="A28" t="str">
        <v>P5  Income tax is computed at the rates in force for tax year 2026-27, which the Finance Act, 2026 left unchanged, and held constant for the later years. Individual / proprietorship on the default regime: nil to ₹4,00,000, then 5% / 10% / 15% / 20% / 25% to ₹24,00,000 and 30% above, with the rebate making tax nil up to ₹12,00,000 and MARGINAL RELIEF above it (tax cannot exceed the income in excess of ₹12,00,000), plus 4% cess. Firm or LLP: 30% + 4% cess = 31.2%. Domestic company on the concessional regime: 22% + 10% surcharge + 4% cess = 25.168%, with an override cell for a company on the 25% or 30% rate. Surcharge is NOT computed and is flagged; a loss year pays nil and carry-forward is not modelled. The 2025-Act section numbers (s.156 rebate, s.200, s.202, s.203) are as reported by secondary sources — VERIFY-WITH-CA. The rates themselves are not in doubt. — SPEC P5.</v>
      </c>
    </row>
    <row r="29">
      <c r="A29" t="str">
        <v>P6  Current liabilities include the term-loan instalments falling due within twelve months (current maturities of long-term debt, Schedule III to the Companies Act, 2013; banks apply the same classification to non-company borrowers). The balance sheet shows term loans on one line; the Ratios sheet moves next year's scheduled repayment into current liabilities for the current ratio and the MPBF. — SPEC P6.</v>
      </c>
    </row>
    <row r="30">
      <c r="A30" t="str">
        <v>B1  Bank working-capital finance is the balancing figure. Cash credit utilised = MAX(0, funds needed); cash and bank = the minimum balance you set + MAX(0, −funds needed); funds needed = (net block + investments + inventory + debtors + other current assets + minimum cash) − (owners' funds + unsecured loans + term loans + creditors + other current liabilities). Total assets therefore equal total liabilities in every year by identity. Where the cash credit needed exceeds the sanctioned limit, the sheet flags the gap in rupees. — SPEC B1.</v>
      </c>
    </row>
    <row r="31">
      <c r="A31" t="str">
        <v>B2  Current ratio benchmark 1.33 — the Tandon Committee's second method (a quarter of current assets funded from long-term sources). Some banks accept less. Editable: Assumptions row 71. — SPEC B2.</v>
      </c>
    </row>
    <row r="32">
      <c r="A32" t="str">
        <v>B3  Indicative MPBF, Tandon method II = 0.75 × current assets − (current liabilities excluding bank borrowings). Shown beside the CC limit you assumed; a limit above the indicative figure is flagged, not forbidden. — SPEC B3.</v>
      </c>
    </row>
    <row r="33">
      <c r="A33" t="str">
        <v>B4  TOL/TNW benchmark 3.0. There is no RBI ceiling — each bank sets its own, and banks typically cap this between 3 and 5. Editable: Assumptions row 72. — SPEC B4.</v>
      </c>
    </row>
    <row r="34">
      <c r="A34" t="str">
        <v>B5  Tangible net worth = capital + reserves − intangible and fictitious assets. Interest-free unsecured loans from promoters count as quasi-equity only where they are subordinated to the bank — that is bank-specific, so it is a Y/N cell defaulted to N (Assumptions row 70). Total outside liabilities = total liabilities − owners' funds (− quasi-equity where you treat it so). — SPEC B5.</v>
      </c>
    </row>
    <row r="35">
      <c r="A35" t="str">
        <v>B6  DSCR = (PAT + depreciation + interest on term debt) ÷ (interest on term debt + term-loan principal repaid in the year). Benchmarks: at least 1.25 in each year and at least 1.50 on average. Some lenders put ALL interest in both halves — that view is the interest-cover row on the Ratios sheet, shown right beside it. Editable: Assumptions rows 73 and 74. — SPEC B6.</v>
      </c>
    </row>
    <row r="36">
      <c r="A36" t="str">
        <v>B7  Debt-equity = long-term debt (term loans, plus unsecured loans unless you treat them as quasi-equity) ÷ tangible net worth, benchmark 2.0. A common sanction covenant with no statutory basis. Editable: Assumptions row 75. — SPEC B7.</v>
      </c>
    </row>
    <row r="37">
      <c r="A37" t="str">
        <v>M1  Sales grow at the rate you set; material, direct and administrative &amp; selling costs are percentages of sales; employee cost grows at its own rate; other income is an absolute figure.</v>
      </c>
    </row>
    <row r="38">
      <c r="A38" t="str">
        <v>M2  Depreciation = rate × (opening net block + the year's additions). That is a plain written-down-value assumption for a projection — it is NOT Schedule II of the Companies Act and NOT section 33 of the Income-tax Act, 2025. For the statutory computation use schedule2-depreciation-web or the fixed asset register workbook.</v>
      </c>
    </row>
    <row r="39">
      <c r="A39" t="str">
        <v>M3  Term-loan interest = rate × (opening + closing balance) ÷ 2, where closing = opening + fresh disbursement − repayment. A repayment larger than the outstanding is flagged rather than netted off.</v>
      </c>
    </row>
    <row r="40">
      <c r="A40" t="str">
        <v>M4  Cash-credit interest = rate × sanctioned limit × the average utilisation you assume (default 80%). This is deliberately independent of the balancing figure, which is why the workbook has no circular reference and never needs iterative calculation switched on.</v>
      </c>
    </row>
    <row r="41">
      <c r="A41" t="str">
        <v>M5  Inventory = material cost × inventory days ÷ 365; debtors = sales × debtor days ÷ 365; creditors = material cost × creditor days ÷ 365. Other current liabilities and other current assets are percentages of sales.</v>
      </c>
    </row>
    <row r="42">
      <c r="A42" t="str">
        <v>M6  Capital = last year's capital + fresh capital introduced. Reserves = last year's reserves + profit after tax − drawings or dividend. For a proprietorship the two lines together are the capital account.</v>
      </c>
    </row>
    <row r="43">
      <c r="A43" t="str">
        <v>M7  For a proprietorship, tax is computed on the business profit before tax only — the proprietor's other income is not modelled, and the charge is shown as a line in the profit and loss account. Some firms show it below the line as drawings instead; the figure is the same either way.</v>
      </c>
    </row>
    <row r="44">
      <c r="A44" t="str">
        <v>M8  Every rupee cell is rounded to whole rupees, ratios to two decimals, percentages to one. Year 4 has no year 5, so its 'instalments due within twelve months' uses year 4's own repayment as the proxy — said out loud on the Ratios sheet.</v>
      </c>
    </row>
    <row r="45">
      <c r="A45" t="str">
        <v>M9  The audited base year is entered as it stands. If the figures you enter do not balance, the check row says by how much and tells you to fix the base year first; the projected years still balance, because the difference is absorbed by the balancing figure in year 1. Fix the base year — do not let the plug hide it.</v>
      </c>
    </row>
    <row r="46">
      <c r="A46" t="str">
        <v/>
      </c>
    </row>
    <row r="47">
      <c r="A47" t="str">
        <v>SAMPLE</v>
      </c>
    </row>
    <row r="48">
      <c r="A48" t="str">
        <v>The workbook opens on Sharma Traders, a Raipur proprietorship renewing a cash credit limit — a complete, balanced five-year set, so you can see a finished example before you type anything. Replace every blue cell (every ▶ row, on this copy) with your own figures. Nothing is hidden and nothing is locked.</v>
      </c>
    </row>
    <row r="49">
      <c r="A49" t="str">
        <v/>
      </c>
    </row>
    <row r="50">
      <c r="A50" t="str">
        <v>WHAT THIS AVOIDS</v>
      </c>
    </row>
    <row r="51">
      <c r="A51" t="str">
        <v>A projected balance sheet that does not balance, a DSCR under 1.25 or a current ratio under 1.33 is the first thing a credit officer finds, and the file comes back. A CA who lets a forecast be called 'certified' is in Clause (3), Part I, Second Schedule territory.</v>
      </c>
    </row>
    <row r="52">
      <c r="A52" t="str">
        <v/>
      </c>
    </row>
    <row r="53">
      <c r="A53" t="str">
        <v>WHAT THIS WORKBOOK WILL NOT DO</v>
      </c>
    </row>
    <row r="54">
      <c r="A54" t="str">
        <v>No CMA data (Forms I to VI), no MPBF sizing beyond the indicative Tandon II line, no fund-flow or cash-flow statement. No Schedule II or section 33 depreciation, no loss set-off, no surcharge, no MAT or AMT, no deferred tax. No monthly or quarterly phasing and no sensitivity tables. No bank-specific facsimile format — the print is the generic layout every bank accepts. No macros: there are none in this file and there never will be.</v>
      </c>
    </row>
    <row r="55">
      <c r="A55" t="str">
        <v/>
      </c>
    </row>
    <row r="56">
      <c r="A56" t="str">
        <v>DISCLAIMER</v>
      </c>
    </row>
    <row r="57">
      <c r="A57" t="str">
        <v>This workbook prepares provisional and projected financial statements from assumptions you enter. The projections are management's estimates; actual results will differ, possibly materially. Tax is computed at the rates in force for tax year 2026-27 (Finance Act, 2026) and assumed unchanged; surcharge, loss set-off and the proprietor's other income are not modelled. Bank benchmarks are typical norms, not law — match them to your sanction letter. A Chartered Accountant reporting on these statements must comply with SRS 4410 (Revised) for the provisional year and SAE 3400 for the projected years, generate a UDIN, and must never describe the projections as certified. Statutory rules change — verify against the latest text and notifications before you rely on any figure. Prepared using cakarangupta.com/tools — not a substitute for professional advice. Nothing you type into this workbook is sent anywhere; it is a file on your computer.</v>
      </c>
    </row>
    <row r="58">
      <c r="A58" t="str">
        <v/>
      </c>
    </row>
    <row r="59">
      <c r="A59" t="str">
        <v>COMPANION TOOLS</v>
      </c>
    </row>
    <row r="60">
      <c r="A60" t="str">
        <v>Monthly stock statement and drawing power: stock-dp-generator. Depreciation, properly: schedule2-depreciation-web (in the browser) and the Fixed Asset Register workbook (Excel).</v>
      </c>
    </row>
  </sheetData>
  <ignoredErrors>
    <ignoredError numberStoredAsText="1" sqref="A1:A60"/>
  </ignoredErrors>
</worksheet>
</file>

<file path=xl/worksheets/sheet2.xml><?xml version="1.0" encoding="utf-8"?>
<worksheet xmlns="http://schemas.openxmlformats.org/spreadsheetml/2006/main" xmlns:r="http://schemas.openxmlformats.org/officeDocument/2006/relationships">
  <dimension ref="A1:H83"/>
  <sheetViews>
    <sheetView workbookViewId="0"/>
  </sheetViews>
  <cols>
    <col min="1" max="1" width="2.83203125" customWidth="1"/>
    <col min="2" max="2" width="46.83203125" customWidth="1"/>
    <col min="3" max="3" width="16.83203125" customWidth="1"/>
    <col min="4" max="4" width="16.83203125" customWidth="1"/>
    <col min="5" max="5" width="16.83203125" customWidth="1"/>
    <col min="6" max="6" width="16.83203125" customWidth="1"/>
    <col min="7" max="7" width="16.83203125" customWidth="1"/>
    <col min="8" max="8" width="44.83203125" customWidth="1"/>
  </cols>
  <sheetData>
    <row r="1">
      <c r="B1" t="str">
        <v>Assumptions — the only sheet you type on</v>
      </c>
    </row>
    <row r="2">
      <c r="B2" t="str">
        <v>▶ Entity name</v>
      </c>
      <c r="C2" t="str">
        <v>Sharma Traders</v>
      </c>
    </row>
    <row r="3">
      <c r="B3" t="str">
        <v>▶ Entity type — type exactly: Proprietorship / Partnership-LLP / Company</v>
      </c>
      <c r="C3" t="str">
        <v>Proprietorship</v>
      </c>
      <c r="H3" t="str">
        <v>Type one of the three exactly. Row 83 checks it. Anything else falls to the firm rate of 31.2% and says so.</v>
      </c>
    </row>
    <row r="4">
      <c r="B4" t="str">
        <v>▶ Audited base year — starting calendar year (2025 = FY 2025-26)</v>
      </c>
      <c r="C4" s="1">
        <v>2025</v>
      </c>
    </row>
    <row r="5">
      <c r="B5" t="str">
        <v>▶ Bank and branch</v>
      </c>
      <c r="C5" t="str">
        <v>State Bank of India, Pandri branch, Raipur</v>
      </c>
    </row>
    <row r="6">
      <c r="B6" t="str">
        <v>▶ Facility / purpose</v>
      </c>
      <c r="C6" t="str">
        <v>Renewal and enhancement of cash credit limit to ₹60,00,000</v>
      </c>
    </row>
    <row r="7">
      <c r="B7" t="str">
        <v>▶ Figures in</v>
      </c>
      <c r="C7" t="str">
        <v>₹ (rupees)</v>
      </c>
    </row>
    <row r="8">
      <c r="B8" t="str">
        <v>Year labels (formula)</v>
      </c>
      <c r="C8">
        <f>"FY "&amp;C4&amp;"-"&amp;RIGHT(C4+1,2)</f>
      </c>
      <c r="D8">
        <f>"FY "&amp;(C4+1)&amp;"-"&amp;RIGHT(C4+2,2)</f>
      </c>
      <c r="E8">
        <f>"FY "&amp;(C4+2)&amp;"-"&amp;RIGHT(C4+3,2)</f>
      </c>
      <c r="F8">
        <f>"FY "&amp;(C4+3)&amp;"-"&amp;RIGHT(C4+4,2)</f>
      </c>
      <c r="G8">
        <f>"FY "&amp;(C4+4)&amp;"-"&amp;RIGHT(C4+5,2)</f>
      </c>
    </row>
    <row r="9">
      <c r="B9" t="str">
        <v>Column status</v>
      </c>
      <c r="C9" t="str">
        <v>Audited</v>
      </c>
      <c r="D9" t="str">
        <v>Provisional</v>
      </c>
      <c r="E9" t="str">
        <v>Projected</v>
      </c>
      <c r="F9" t="str">
        <v>Projected</v>
      </c>
      <c r="G9" t="str">
        <v>Projected</v>
      </c>
    </row>
    <row r="10">
      <c r="H10" t="str">
        <v>Column H on every sheet is where the flags and notes live. Read it.</v>
      </c>
    </row>
    <row r="11">
      <c r="B11" t="str">
        <v>A. Audited base year — P&amp;L (from the signed accounts)</v>
      </c>
    </row>
    <row r="12">
      <c r="B12" t="str">
        <v>▶ Sales / turnover</v>
      </c>
      <c r="C12" s="2">
        <v>32000000</v>
      </c>
    </row>
    <row r="13">
      <c r="B13" t="str">
        <v>▶ Other income</v>
      </c>
      <c r="C13" s="2">
        <v>150000</v>
      </c>
    </row>
    <row r="14">
      <c r="B14" t="str">
        <v>▶ Material / purchase cost (cost of goods)</v>
      </c>
      <c r="C14" s="2">
        <v>22400000</v>
      </c>
    </row>
    <row r="15">
      <c r="B15" t="str">
        <v>▶ Direct &amp; manufacturing expenses</v>
      </c>
      <c r="C15" s="2">
        <v>1280000</v>
      </c>
    </row>
    <row r="16">
      <c r="B16" t="str">
        <v>▶ Employee cost</v>
      </c>
      <c r="C16" s="2">
        <v>1800000</v>
      </c>
    </row>
    <row r="17">
      <c r="B17" t="str">
        <v>▶ Administrative &amp; selling expenses</v>
      </c>
      <c r="C17" s="2">
        <v>1600000</v>
      </c>
    </row>
    <row r="18">
      <c r="B18" t="str">
        <v>▶ Depreciation</v>
      </c>
      <c r="C18" s="2">
        <v>450000</v>
      </c>
    </row>
    <row r="19">
      <c r="B19" t="str">
        <v>▶ Interest on term loans</v>
      </c>
      <c r="C19" s="2">
        <v>320000</v>
      </c>
    </row>
    <row r="20">
      <c r="B20" t="str">
        <v>▶ Interest on cash credit / working capital</v>
      </c>
      <c r="C20" s="2">
        <v>520000</v>
      </c>
    </row>
    <row r="21">
      <c r="B21" t="str">
        <v>▶ Income tax</v>
      </c>
      <c r="C21" s="2">
        <v>800000</v>
      </c>
    </row>
    <row r="22">
      <c r="B22" t="str">
        <v>▶ Drawings / dividend</v>
      </c>
      <c r="C22" s="2">
        <v>1200000</v>
      </c>
    </row>
    <row r="24">
      <c r="B24">
        <f>"B. Audited base year — balance sheet as at 31 March "&amp;(C4+1)</f>
      </c>
    </row>
    <row r="25">
      <c r="B25" t="str">
        <v>▶ Capital (share / partners' / proprietor's)</v>
      </c>
      <c r="C25" s="2">
        <v>4500000</v>
      </c>
    </row>
    <row r="26">
      <c r="B26" t="str">
        <v>▶ Reserves &amp; surplus / accumulated profits</v>
      </c>
      <c r="C26" s="2">
        <v>0</v>
      </c>
    </row>
    <row r="27">
      <c r="B27" t="str">
        <v>▶ Unsecured loans from promoters and relatives</v>
      </c>
      <c r="C27" s="2">
        <v>1500000</v>
      </c>
    </row>
    <row r="28">
      <c r="B28" t="str">
        <v>▶ Term loans outstanding (total)</v>
      </c>
      <c r="C28" s="2">
        <v>2400000</v>
      </c>
    </row>
    <row r="29">
      <c r="B29" t="str">
        <v>▶ Cash credit / working-capital borrowing</v>
      </c>
      <c r="C29" s="2">
        <v>4200000</v>
      </c>
    </row>
    <row r="30">
      <c r="B30" t="str">
        <v>▶ Sundry creditors</v>
      </c>
      <c r="C30" s="2">
        <v>3100000</v>
      </c>
    </row>
    <row r="31">
      <c r="B31" t="str">
        <v>▶ Other current liabilities &amp; provisions</v>
      </c>
      <c r="C31" s="2">
        <v>600000</v>
      </c>
    </row>
    <row r="32">
      <c r="B32" t="str">
        <v>▶ Gross fixed assets</v>
      </c>
      <c r="C32" s="2">
        <v>6200000</v>
      </c>
    </row>
    <row r="33">
      <c r="B33" t="str">
        <v>▶ Accumulated depreciation</v>
      </c>
      <c r="C33" s="2">
        <v>2200000</v>
      </c>
    </row>
    <row r="34">
      <c r="B34" t="str">
        <v>▶ Investments &amp; long-term deposits</v>
      </c>
      <c r="C34" s="2">
        <v>500000</v>
      </c>
    </row>
    <row r="35">
      <c r="B35" t="str">
        <v>▶ Inventory</v>
      </c>
      <c r="C35" s="2">
        <v>4800000</v>
      </c>
    </row>
    <row r="36">
      <c r="B36" t="str">
        <v>▶ Sundry debtors</v>
      </c>
      <c r="C36" s="2">
        <v>5200000</v>
      </c>
    </row>
    <row r="37">
      <c r="B37" t="str">
        <v>▶ Cash &amp; bank balances</v>
      </c>
      <c r="C37" s="2">
        <v>600000</v>
      </c>
    </row>
    <row r="38">
      <c r="B38" t="str">
        <v>▶ Loans, advances &amp; other current assets</v>
      </c>
      <c r="C38" s="2">
        <v>1200000</v>
      </c>
    </row>
    <row r="39">
      <c r="B39" t="str">
        <v>▶ Intangible / fictitious assets included above (deducted for TNW)</v>
      </c>
      <c r="C39" s="2">
        <v>0</v>
      </c>
    </row>
    <row r="40">
      <c r="B40" t="str">
        <v>▶ Term-loan instalments due within 12 months of the base-year end</v>
      </c>
      <c r="C40" s="2">
        <v>600000</v>
      </c>
      <c r="H40" t="str">
        <v>The current maturity of long-term debt (P6). Used by the Ratios sheet for the base year's current ratio and MPBF.</v>
      </c>
    </row>
    <row r="41">
      <c r="B41" t="str">
        <v>▶ Term-loan principal repaid during the base year</v>
      </c>
      <c r="C41" s="2">
        <v>600000</v>
      </c>
      <c r="H41" t="str">
        <v>Last year's actual repayment. Drives the base year's DSCR denominator only.</v>
      </c>
    </row>
    <row r="42">
      <c r="B42" t="str">
        <v>C. Projection assumptions</v>
      </c>
      <c r="D42">
        <f>D8</f>
      </c>
      <c r="E42">
        <f>E8</f>
      </c>
      <c r="F42">
        <f>F8</f>
      </c>
      <c r="G42">
        <f>G8</f>
      </c>
    </row>
    <row r="43">
      <c r="B43" t="str">
        <v>▶ Sales growth %</v>
      </c>
      <c r="D43" s="3">
        <v>0.15</v>
      </c>
      <c r="E43" s="3">
        <v>0.12</v>
      </c>
      <c r="F43" s="3">
        <v>0.12</v>
      </c>
      <c r="G43" s="3">
        <v>0.1</v>
      </c>
    </row>
    <row r="44">
      <c r="B44" t="str">
        <v>▶ Other income (₹)</v>
      </c>
      <c r="D44" s="2">
        <v>150000</v>
      </c>
      <c r="E44" s="2">
        <v>150000</v>
      </c>
      <c r="F44" s="2">
        <v>150000</v>
      </c>
      <c r="G44" s="2">
        <v>150000</v>
      </c>
    </row>
    <row r="45">
      <c r="B45" t="str">
        <v>▶ Material cost % of sales</v>
      </c>
      <c r="D45" s="3">
        <v>0.7</v>
      </c>
      <c r="E45" s="3">
        <v>0.7</v>
      </c>
      <c r="F45" s="3">
        <v>0.7</v>
      </c>
      <c r="G45" s="3">
        <v>0.7</v>
      </c>
    </row>
    <row r="46">
      <c r="B46" t="str">
        <v>▶ Direct expenses % of sales</v>
      </c>
      <c r="D46" s="3">
        <v>0.04</v>
      </c>
      <c r="E46" s="3">
        <v>0.04</v>
      </c>
      <c r="F46" s="3">
        <v>0.04</v>
      </c>
      <c r="G46" s="3">
        <v>0.04</v>
      </c>
    </row>
    <row r="47">
      <c r="B47" t="str">
        <v>▶ Employee cost growth %</v>
      </c>
      <c r="D47" s="3">
        <v>0.1</v>
      </c>
      <c r="E47" s="3">
        <v>0.1</v>
      </c>
      <c r="F47" s="3">
        <v>0.1</v>
      </c>
      <c r="G47" s="3">
        <v>0.1</v>
      </c>
    </row>
    <row r="48">
      <c r="B48" t="str">
        <v>▶ Admin &amp; selling % of sales</v>
      </c>
      <c r="D48" s="3">
        <v>0.05</v>
      </c>
      <c r="E48" s="3">
        <v>0.05</v>
      </c>
      <c r="F48" s="3">
        <v>0.05</v>
      </c>
      <c r="G48" s="3">
        <v>0.05</v>
      </c>
    </row>
    <row r="49">
      <c r="B49" t="str">
        <v>▶ Depreciation rate % (WDV on opening net block + additions)</v>
      </c>
      <c r="D49" s="3">
        <v>0.1</v>
      </c>
      <c r="E49" s="3">
        <v>0.1</v>
      </c>
      <c r="F49" s="3">
        <v>0.1</v>
      </c>
      <c r="G49" s="3">
        <v>0.1</v>
      </c>
      <c r="H49" t="str">
        <v>A plain WDV assumption for a projection (M2) — not Schedule II and not s.33 of the Income-tax Act, 2025.</v>
      </c>
    </row>
    <row r="50">
      <c r="B50" t="str">
        <v>▶ Capital expenditure (₹)</v>
      </c>
      <c r="D50" s="2">
        <v>1000000</v>
      </c>
      <c r="E50" s="2">
        <v>1500000</v>
      </c>
      <c r="F50" s="2">
        <v>500000</v>
      </c>
      <c r="G50" s="2">
        <v>500000</v>
      </c>
    </row>
    <row r="51">
      <c r="B51" t="str">
        <v>▶ Fresh term loan disbursed (₹)</v>
      </c>
      <c r="D51" s="2">
        <v>0</v>
      </c>
      <c r="E51" s="2">
        <v>1000000</v>
      </c>
      <c r="F51" s="2">
        <v>0</v>
      </c>
      <c r="G51" s="2">
        <v>0</v>
      </c>
    </row>
    <row r="52">
      <c r="B52" t="str">
        <v>▶ Term-loan principal repayment (₹)</v>
      </c>
      <c r="D52" s="2">
        <v>600000</v>
      </c>
      <c r="E52" s="2">
        <v>600000</v>
      </c>
      <c r="F52" s="2">
        <v>800000</v>
      </c>
      <c r="G52" s="2">
        <v>800000</v>
      </c>
    </row>
    <row r="53">
      <c r="B53" t="str">
        <v>▶ Term-loan interest rate %</v>
      </c>
      <c r="D53" s="3">
        <v>0.105</v>
      </c>
      <c r="E53" s="3">
        <v>0.105</v>
      </c>
      <c r="F53" s="3">
        <v>0.105</v>
      </c>
      <c r="G53" s="3">
        <v>0.105</v>
      </c>
    </row>
    <row r="54">
      <c r="B54" t="str">
        <v>▶ Cash credit sanctioned limit (₹)</v>
      </c>
      <c r="D54" s="2">
        <v>5000000</v>
      </c>
      <c r="E54" s="2">
        <v>6000000</v>
      </c>
      <c r="F54" s="2">
        <v>6000000</v>
      </c>
      <c r="G54" s="2">
        <v>6000000</v>
      </c>
      <c r="H54" t="str">
        <v>The sanctioned limit you are assuming. The BS sheet computes the limit actually needed and flags any gap.</v>
      </c>
    </row>
    <row r="55">
      <c r="B55" t="str">
        <v>▶ Cash credit interest rate %</v>
      </c>
      <c r="D55" s="3">
        <v>0.11</v>
      </c>
      <c r="E55" s="3">
        <v>0.11</v>
      </c>
      <c r="F55" s="3">
        <v>0.11</v>
      </c>
      <c r="G55" s="3">
        <v>0.11</v>
      </c>
    </row>
    <row r="56">
      <c r="B56" t="str">
        <v>▶ Average CC utilisation % (drives interest only)</v>
      </c>
      <c r="D56" s="3">
        <v>0.8</v>
      </c>
      <c r="E56" s="3">
        <v>0.8</v>
      </c>
      <c r="F56" s="3">
        <v>0.8</v>
      </c>
      <c r="G56" s="3">
        <v>0.8</v>
      </c>
      <c r="H56" t="str">
        <v>Interest on cash credit = rate × limit × this %. Independent of the balancing figure so the sheet never goes circular (M4).</v>
      </c>
    </row>
    <row r="57">
      <c r="B57" t="str">
        <v>▶ Inventory days (on material cost)</v>
      </c>
      <c r="D57" s="1">
        <v>75</v>
      </c>
      <c r="E57" s="1">
        <v>75</v>
      </c>
      <c r="F57" s="1">
        <v>75</v>
      </c>
      <c r="G57" s="1">
        <v>75</v>
      </c>
    </row>
    <row r="58">
      <c r="B58" t="str">
        <v>▶ Debtor days (on sales)</v>
      </c>
      <c r="D58" s="1">
        <v>60</v>
      </c>
      <c r="E58" s="1">
        <v>60</v>
      </c>
      <c r="F58" s="1">
        <v>60</v>
      </c>
      <c r="G58" s="1">
        <v>60</v>
      </c>
    </row>
    <row r="59">
      <c r="B59" t="str">
        <v>▶ Creditor days (on material cost)</v>
      </c>
      <c r="D59" s="1">
        <v>50</v>
      </c>
      <c r="E59" s="1">
        <v>50</v>
      </c>
      <c r="F59" s="1">
        <v>50</v>
      </c>
      <c r="G59" s="1">
        <v>50</v>
      </c>
    </row>
    <row r="60">
      <c r="B60" t="str">
        <v>▶ Other current liabilities % of sales</v>
      </c>
      <c r="D60" s="3">
        <v>0.02</v>
      </c>
      <c r="E60" s="3">
        <v>0.02</v>
      </c>
      <c r="F60" s="3">
        <v>0.02</v>
      </c>
      <c r="G60" s="3">
        <v>0.02</v>
      </c>
    </row>
    <row r="61">
      <c r="B61" t="str">
        <v>▶ Other current assets % of sales</v>
      </c>
      <c r="D61" s="3">
        <v>0.035</v>
      </c>
      <c r="E61" s="3">
        <v>0.035</v>
      </c>
      <c r="F61" s="3">
        <v>0.035</v>
      </c>
      <c r="G61" s="3">
        <v>0.035</v>
      </c>
    </row>
    <row r="62">
      <c r="B62" t="str">
        <v>▶ Change in investments / deposits (₹, + = added)</v>
      </c>
      <c r="D62" s="2">
        <v>0</v>
      </c>
      <c r="E62" s="2">
        <v>0</v>
      </c>
      <c r="F62" s="2">
        <v>0</v>
      </c>
      <c r="G62" s="2">
        <v>0</v>
      </c>
    </row>
    <row r="63">
      <c r="B63" t="str">
        <v>▶ Fresh capital introduced (₹)</v>
      </c>
      <c r="D63" s="2">
        <v>0</v>
      </c>
      <c r="E63" s="2">
        <v>0</v>
      </c>
      <c r="F63" s="2">
        <v>0</v>
      </c>
      <c r="G63" s="2">
        <v>0</v>
      </c>
    </row>
    <row r="64">
      <c r="B64" t="str">
        <v>▶ Unsecured loans — net movement (₹, + taken / − repaid)</v>
      </c>
      <c r="D64" s="2">
        <v>0</v>
      </c>
      <c r="E64" s="2">
        <v>0</v>
      </c>
      <c r="F64" s="2">
        <v>0</v>
      </c>
      <c r="G64" s="2">
        <v>0</v>
      </c>
    </row>
    <row r="65">
      <c r="B65" t="str">
        <v>▶ Drawings / dividend (₹)</v>
      </c>
      <c r="D65" s="2">
        <v>1200000</v>
      </c>
      <c r="E65" s="2">
        <v>1200000</v>
      </c>
      <c r="F65" s="2">
        <v>1500000</v>
      </c>
      <c r="G65" s="2">
        <v>1500000</v>
      </c>
    </row>
    <row r="66">
      <c r="B66" t="str">
        <v>▶ Minimum cash &amp; bank balance to hold (₹)</v>
      </c>
      <c r="D66" s="2">
        <v>500000</v>
      </c>
      <c r="E66" s="2">
        <v>500000</v>
      </c>
      <c r="F66" s="2">
        <v>500000</v>
      </c>
      <c r="G66" s="2">
        <v>500000</v>
      </c>
      <c r="H66" t="str">
        <v>Cash is held at this floor. Any surplus beyond it appears here instead of reducing cash credit below nil (B1).</v>
      </c>
    </row>
    <row r="68">
      <c r="B68" t="str">
        <v>D. Tax and ratio settings</v>
      </c>
    </row>
    <row r="69">
      <c r="B69" t="str">
        <v>▶ Effective tax rate override % (blank = 25.168% company / 31.2% firm-LLP / slab for proprietorship)</v>
      </c>
      <c r="C69" s="4" t="str">
        <v/>
      </c>
      <c r="H69" t="str">
        <v>Company on the 25% or 30% rate, or a firm above ₹1 crore: enter the all-in rate here. Leave blank to use the default for the entity type.</v>
      </c>
    </row>
    <row r="70">
      <c r="B70" t="str">
        <v>▶ Treat unsecured promoter loans as quasi-equity? (Y / N)</v>
      </c>
      <c r="C70" t="str">
        <v>N</v>
      </c>
      <c r="H70" t="str">
        <v>Y only where the loans are subordinated to the bank and interest-free (B5).</v>
      </c>
    </row>
    <row r="71">
      <c r="B71" t="str">
        <v>▶ Benchmark — current ratio at least</v>
      </c>
      <c r="C71" s="5">
        <v>1.33</v>
      </c>
    </row>
    <row r="72">
      <c r="B72" t="str">
        <v>▶ Benchmark — TOL/TNW at most</v>
      </c>
      <c r="C72" s="5">
        <v>3</v>
      </c>
    </row>
    <row r="73">
      <c r="B73" t="str">
        <v>▶ Benchmark — DSCR at least, each year</v>
      </c>
      <c r="C73" s="5">
        <v>1.25</v>
      </c>
    </row>
    <row r="74">
      <c r="B74" t="str">
        <v>▶ Benchmark — average DSCR at least</v>
      </c>
      <c r="C74" s="5">
        <v>1.5</v>
      </c>
    </row>
    <row r="75">
      <c r="B75" t="str">
        <v>▶ Benchmark — debt-equity (long-term debt / TNW) at most</v>
      </c>
      <c r="C75" s="5">
        <v>2</v>
      </c>
    </row>
    <row r="77">
      <c r="B77" t="str">
        <v>E. Your base year, read back (guide for section C)</v>
      </c>
    </row>
    <row r="78">
      <c r="B78" t="str">
        <v>Inventory days in the base year</v>
      </c>
      <c r="C78" s="1">
        <f>IF(C14=0,"",ROUND(C35/C14*365,0))</f>
      </c>
    </row>
    <row r="79">
      <c r="B79" t="str">
        <v>Debtor days in the base year</v>
      </c>
      <c r="C79" s="1">
        <f>IF(C12=0,"",ROUND(C36/C12*365,0))</f>
      </c>
    </row>
    <row r="80">
      <c r="B80" t="str">
        <v>Creditor days in the base year</v>
      </c>
      <c r="C80" s="1">
        <f>IF(C14=0,"",ROUND(C30/C14*365,0))</f>
      </c>
    </row>
    <row r="81">
      <c r="B81" t="str">
        <v>Material cost % of sales in the base year</v>
      </c>
      <c r="C81" s="3">
        <f>IF(C12=0,"",C14/C12)</f>
      </c>
    </row>
    <row r="82">
      <c r="B82" t="str">
        <v>Admin &amp; selling % of sales in the base year</v>
      </c>
      <c r="C82" s="3">
        <f>IF(C12=0,"",C17/C12)</f>
      </c>
    </row>
    <row r="83">
      <c r="B83" t="str">
        <v>Entity-type check</v>
      </c>
      <c r="C83">
        <f>IF(OR(C3="Proprietorship",C3="Partnership-LLP",C3="Company"),"OK","Type exactly Proprietorship, Partnership-LLP or Company — firm rate applied until fixed")</f>
      </c>
    </row>
  </sheetData>
  <ignoredErrors>
    <ignoredError numberStoredAsText="1" sqref="A1:H83"/>
  </ignoredErrors>
</worksheet>
</file>

<file path=xl/worksheets/sheet3.xml><?xml version="1.0" encoding="utf-8"?>
<worksheet xmlns="http://schemas.openxmlformats.org/spreadsheetml/2006/main" xmlns:r="http://schemas.openxmlformats.org/officeDocument/2006/relationships">
  <dimension ref="A1:H27"/>
  <sheetViews>
    <sheetView workbookViewId="0"/>
  </sheetViews>
  <cols>
    <col min="1" max="1" width="2.83203125" customWidth="1"/>
    <col min="2" max="2" width="46.83203125" customWidth="1"/>
    <col min="3" max="3" width="16.83203125" customWidth="1"/>
    <col min="4" max="4" width="16.83203125" customWidth="1"/>
    <col min="5" max="5" width="16.83203125" customWidth="1"/>
    <col min="6" max="6" width="16.83203125" customWidth="1"/>
    <col min="7" max="7" width="16.83203125" customWidth="1"/>
    <col min="8" max="8" width="44.83203125" customWidth="1"/>
  </cols>
  <sheetData>
    <row r="1">
      <c r="B1">
        <f>Assumptions!C2&amp;" — Statement of Profit and Loss"</f>
      </c>
    </row>
    <row r="2">
      <c r="B2" t="str">
        <v>Figures in ₹ · provisional and projected figures are estimates</v>
      </c>
    </row>
    <row r="4">
      <c r="B4" t="str">
        <v>Particulars</v>
      </c>
      <c r="C4">
        <f>Assumptions!C8</f>
      </c>
      <c r="D4">
        <f>Assumptions!D8</f>
      </c>
      <c r="E4">
        <f>Assumptions!E8</f>
      </c>
      <c r="F4">
        <f>Assumptions!F8</f>
      </c>
      <c r="G4">
        <f>Assumptions!G8</f>
      </c>
    </row>
    <row r="5">
      <c r="C5">
        <f>Assumptions!C9</f>
      </c>
      <c r="D5">
        <f>Assumptions!D9</f>
      </c>
      <c r="E5">
        <f>Assumptions!E9</f>
      </c>
      <c r="F5">
        <f>Assumptions!F9</f>
      </c>
      <c r="G5">
        <f>Assumptions!G9</f>
      </c>
    </row>
    <row r="6">
      <c r="B6" t="str">
        <v>Sales</v>
      </c>
      <c r="C6" s="2">
        <f>Assumptions!C12</f>
      </c>
      <c r="D6" s="2">
        <f>ROUND(C6*(1+Assumptions!D43),0)</f>
      </c>
      <c r="E6" s="2">
        <f>ROUND(D6*(1+Assumptions!E43),0)</f>
      </c>
      <c r="F6" s="2">
        <f>ROUND(E6*(1+Assumptions!F43),0)</f>
      </c>
      <c r="G6" s="2">
        <f>ROUND(F6*(1+Assumptions!G43),0)</f>
      </c>
    </row>
    <row r="7">
      <c r="B7" t="str">
        <v>Other income</v>
      </c>
      <c r="C7" s="2">
        <f>Assumptions!C13</f>
      </c>
      <c r="D7" s="2">
        <f>Assumptions!D44</f>
      </c>
      <c r="E7" s="2">
        <f>Assumptions!E44</f>
      </c>
      <c r="F7" s="2">
        <f>Assumptions!F44</f>
      </c>
      <c r="G7" s="2">
        <f>Assumptions!G44</f>
      </c>
    </row>
    <row r="8">
      <c r="B8" t="str">
        <v>Total income</v>
      </c>
      <c r="C8" s="2">
        <f>C6+C7</f>
      </c>
      <c r="D8" s="2">
        <f>D6+D7</f>
      </c>
      <c r="E8" s="2">
        <f>E6+E7</f>
      </c>
      <c r="F8" s="2">
        <f>F6+F7</f>
      </c>
      <c r="G8" s="2">
        <f>G6+G7</f>
      </c>
    </row>
    <row r="9">
      <c r="B9" t="str">
        <v>Material / purchase cost</v>
      </c>
      <c r="C9" s="2">
        <f>Assumptions!C14</f>
      </c>
      <c r="D9" s="2">
        <f>ROUND(D6*Assumptions!D45,0)</f>
      </c>
      <c r="E9" s="2">
        <f>ROUND(E6*Assumptions!E45,0)</f>
      </c>
      <c r="F9" s="2">
        <f>ROUND(F6*Assumptions!F45,0)</f>
      </c>
      <c r="G9" s="2">
        <f>ROUND(G6*Assumptions!G45,0)</f>
      </c>
    </row>
    <row r="10">
      <c r="B10" t="str">
        <v>Direct &amp; manufacturing expenses</v>
      </c>
      <c r="C10" s="2">
        <f>Assumptions!C15</f>
      </c>
      <c r="D10" s="2">
        <f>ROUND(D6*Assumptions!D46,0)</f>
      </c>
      <c r="E10" s="2">
        <f>ROUND(E6*Assumptions!E46,0)</f>
      </c>
      <c r="F10" s="2">
        <f>ROUND(F6*Assumptions!F46,0)</f>
      </c>
      <c r="G10" s="2">
        <f>ROUND(G6*Assumptions!G46,0)</f>
      </c>
    </row>
    <row r="11">
      <c r="B11" t="str">
        <v>Employee cost</v>
      </c>
      <c r="C11" s="2">
        <f>Assumptions!C16</f>
      </c>
      <c r="D11" s="2">
        <f>ROUND(C11*(1+Assumptions!D47),0)</f>
      </c>
      <c r="E11" s="2">
        <f>ROUND(D11*(1+Assumptions!E47),0)</f>
      </c>
      <c r="F11" s="2">
        <f>ROUND(E11*(1+Assumptions!F47),0)</f>
      </c>
      <c r="G11" s="2">
        <f>ROUND(F11*(1+Assumptions!G47),0)</f>
      </c>
    </row>
    <row r="12">
      <c r="B12" t="str">
        <v>Administrative &amp; selling expenses</v>
      </c>
      <c r="C12" s="2">
        <f>Assumptions!C17</f>
      </c>
      <c r="D12" s="2">
        <f>ROUND(D6*Assumptions!D48,0)</f>
      </c>
      <c r="E12" s="2">
        <f>ROUND(E6*Assumptions!E48,0)</f>
      </c>
      <c r="F12" s="2">
        <f>ROUND(F6*Assumptions!F48,0)</f>
      </c>
      <c r="G12" s="2">
        <f>ROUND(G6*Assumptions!G48,0)</f>
      </c>
    </row>
    <row r="13">
      <c r="B13" t="str">
        <v>Total operating expenses</v>
      </c>
      <c r="C13" s="2">
        <f>SUM(C9:C12)</f>
      </c>
      <c r="D13" s="2">
        <f>SUM(D9:D12)</f>
      </c>
      <c r="E13" s="2">
        <f>SUM(E9:E12)</f>
      </c>
      <c r="F13" s="2">
        <f>SUM(F9:F12)</f>
      </c>
      <c r="G13" s="2">
        <f>SUM(G9:G12)</f>
      </c>
    </row>
    <row r="14">
      <c r="B14" t="str">
        <v>EBITDA</v>
      </c>
      <c r="C14" s="2">
        <f>C8-C13</f>
      </c>
      <c r="D14" s="2">
        <f>D8-D13</f>
      </c>
      <c r="E14" s="2">
        <f>E8-E13</f>
      </c>
      <c r="F14" s="2">
        <f>F8-F13</f>
      </c>
      <c r="G14" s="2">
        <f>G8-G13</f>
      </c>
    </row>
    <row r="15">
      <c r="B15" t="str">
        <v>Depreciation</v>
      </c>
      <c r="C15" s="2">
        <f>Assumptions!C18</f>
      </c>
      <c r="D15" s="2">
        <f>ROUND(Assumptions!D49*(BS!C19+Assumptions!D50),0)</f>
      </c>
      <c r="E15" s="2">
        <f>ROUND(Assumptions!E49*(BS!D19+Assumptions!E50),0)</f>
      </c>
      <c r="F15" s="2">
        <f>ROUND(Assumptions!F49*(BS!E19+Assumptions!F50),0)</f>
      </c>
      <c r="G15" s="2">
        <f>ROUND(Assumptions!G49*(BS!F19+Assumptions!G50),0)</f>
      </c>
    </row>
    <row r="16">
      <c r="B16" t="str">
        <v>Interest — term loans</v>
      </c>
      <c r="C16" s="2">
        <f>Assumptions!C19</f>
      </c>
      <c r="D16" s="2">
        <f>ROUND(Assumptions!D53*(BS!C11+BS!D11)/2,0)</f>
      </c>
      <c r="E16" s="2">
        <f>ROUND(Assumptions!E53*(BS!D11+BS!E11)/2,0)</f>
      </c>
      <c r="F16" s="2">
        <f>ROUND(Assumptions!F53*(BS!E11+BS!F11)/2,0)</f>
      </c>
      <c r="G16" s="2">
        <f>ROUND(Assumptions!G53*(BS!F11+BS!G11)/2,0)</f>
      </c>
    </row>
    <row r="17">
      <c r="B17" t="str">
        <v>Interest — cash credit</v>
      </c>
      <c r="C17" s="2">
        <f>Assumptions!C20</f>
      </c>
      <c r="D17" s="2">
        <f>ROUND(Assumptions!D55*Assumptions!D54*Assumptions!D56,0)</f>
      </c>
      <c r="E17" s="2">
        <f>ROUND(Assumptions!E55*Assumptions!E54*Assumptions!E56,0)</f>
      </c>
      <c r="F17" s="2">
        <f>ROUND(Assumptions!F55*Assumptions!F54*Assumptions!F56,0)</f>
      </c>
      <c r="G17" s="2">
        <f>ROUND(Assumptions!G55*Assumptions!G54*Assumptions!G56,0)</f>
      </c>
    </row>
    <row r="18">
      <c r="B18" t="str">
        <v>Profit before tax</v>
      </c>
      <c r="C18" s="2">
        <f>C14-C15-C16-C17</f>
      </c>
      <c r="D18" s="2">
        <f>D14-D15-D16-D17</f>
      </c>
      <c r="E18" s="2">
        <f>E14-E15-E16-E17</f>
      </c>
      <c r="F18" s="2">
        <f>F14-F15-F16-F17</f>
      </c>
      <c r="G18" s="2">
        <f>G14-G15-G16-G17</f>
      </c>
    </row>
    <row r="19">
      <c r="B19" t="str">
        <v>Income tax</v>
      </c>
      <c r="C19" s="2">
        <f>Assumptions!C21</f>
      </c>
      <c r="D19" s="2">
        <f>IF(D18&lt;=0,0,IF(EntType="Proprietorship",ROUND(IF(D18&lt;=1200000,0,MIN(0.05*MAX(0,MIN(D18,800000)-400000)+0.1*MAX(0,MIN(D18,1200000)-800000)+0.15*MAX(0,MIN(D18,1600000)-1200000)+0.2*MAX(0,MIN(D18,2000000)-1600000)+0.25*MAX(0,MIN(D18,2400000)-2000000)+0.3*MAX(0,D18-2400000),D18-1200000))*1.04,0),ROUND(D18*IF(TaxOverride&lt;&gt;"",TaxOverride,IF(EntType="Company",0.25168,0.312)),0)))</f>
      </c>
      <c r="E19" s="2">
        <f>IF(E18&lt;=0,0,IF(EntType="Proprietorship",ROUND(IF(E18&lt;=1200000,0,MIN(0.05*MAX(0,MIN(E18,800000)-400000)+0.1*MAX(0,MIN(E18,1200000)-800000)+0.15*MAX(0,MIN(E18,1600000)-1200000)+0.2*MAX(0,MIN(E18,2000000)-1600000)+0.25*MAX(0,MIN(E18,2400000)-2000000)+0.3*MAX(0,E18-2400000),E18-1200000))*1.04,0),ROUND(E18*IF(TaxOverride&lt;&gt;"",TaxOverride,IF(EntType="Company",0.25168,0.312)),0)))</f>
      </c>
      <c r="F19" s="2">
        <f>IF(F18&lt;=0,0,IF(EntType="Proprietorship",ROUND(IF(F18&lt;=1200000,0,MIN(0.05*MAX(0,MIN(F18,800000)-400000)+0.1*MAX(0,MIN(F18,1200000)-800000)+0.15*MAX(0,MIN(F18,1600000)-1200000)+0.2*MAX(0,MIN(F18,2000000)-1600000)+0.25*MAX(0,MIN(F18,2400000)-2000000)+0.3*MAX(0,F18-2400000),F18-1200000))*1.04,0),ROUND(F18*IF(TaxOverride&lt;&gt;"",TaxOverride,IF(EntType="Company",0.25168,0.312)),0)))</f>
      </c>
      <c r="G19" s="2">
        <f>IF(G18&lt;=0,0,IF(EntType="Proprietorship",ROUND(IF(G18&lt;=1200000,0,MIN(0.05*MAX(0,MIN(G18,800000)-400000)+0.1*MAX(0,MIN(G18,1200000)-800000)+0.15*MAX(0,MIN(G18,1600000)-1200000)+0.2*MAX(0,MIN(G18,2000000)-1600000)+0.25*MAX(0,MIN(G18,2400000)-2000000)+0.3*MAX(0,G18-2400000),G18-1200000))*1.04,0),ROUND(G18*IF(TaxOverride&lt;&gt;"",TaxOverride,IF(EntType="Company",0.25168,0.312)),0)))</f>
      </c>
      <c r="H19" t="str">
        <v>Tax year 2026-27 rates (P5). Blank override cell on Assumptions row 69 = slab for a proprietorship, 31.2% firm/LLP, 25.168% company.</v>
      </c>
    </row>
    <row r="20">
      <c r="B20" t="str">
        <v>Profit after tax</v>
      </c>
      <c r="C20" s="2">
        <f>C18-C19</f>
      </c>
      <c r="D20" s="2">
        <f>D18-D19</f>
      </c>
      <c r="E20" s="2">
        <f>E18-E19</f>
      </c>
      <c r="F20" s="2">
        <f>F18-F19</f>
      </c>
      <c r="G20" s="2">
        <f>G18-G19</f>
      </c>
    </row>
    <row r="21">
      <c r="B21" t="str">
        <v>Drawings / dividend</v>
      </c>
      <c r="C21" s="2">
        <f>Assumptions!C22</f>
      </c>
      <c r="D21" s="2">
        <f>Assumptions!D65</f>
      </c>
      <c r="E21" s="2">
        <f>Assumptions!E65</f>
      </c>
      <c r="F21" s="2">
        <f>Assumptions!F65</f>
      </c>
      <c r="G21" s="2">
        <f>Assumptions!G65</f>
      </c>
    </row>
    <row r="22">
      <c r="B22" t="str">
        <v>Retained in the business</v>
      </c>
      <c r="C22" s="2">
        <f>C20-C21</f>
      </c>
      <c r="D22" s="2">
        <f>D20-D21</f>
      </c>
      <c r="E22" s="2">
        <f>E20-E21</f>
      </c>
      <c r="F22" s="2">
        <f>F20-F21</f>
      </c>
      <c r="G22" s="2">
        <f>G20-G21</f>
      </c>
    </row>
    <row r="24">
      <c r="B24" t="str">
        <v>EBITDA margin %</v>
      </c>
      <c r="C24" s="3">
        <f>IF(C6=0,"",C14/C6)</f>
      </c>
      <c r="D24" s="3">
        <f>IF(D6=0,"",D14/D6)</f>
      </c>
      <c r="E24" s="3">
        <f>IF(E6=0,"",E14/E6)</f>
      </c>
      <c r="F24" s="3">
        <f>IF(F6=0,"",F14/F6)</f>
      </c>
      <c r="G24" s="3">
        <f>IF(G6=0,"",G14/G6)</f>
      </c>
    </row>
    <row r="25">
      <c r="B25" t="str">
        <v>PAT margin %</v>
      </c>
      <c r="C25" s="3">
        <f>IF(C6=0,"",C20/C6)</f>
      </c>
      <c r="D25" s="3">
        <f>IF(D6=0,"",D20/D6)</f>
      </c>
      <c r="E25" s="3">
        <f>IF(E6=0,"",E20/E6)</f>
      </c>
      <c r="F25" s="3">
        <f>IF(F6=0,"",F20/F6)</f>
      </c>
      <c r="G25" s="3">
        <f>IF(G6=0,"",G20/G6)</f>
      </c>
    </row>
    <row r="26">
      <c r="B26" t="str">
        <v>Effective tax rate %</v>
      </c>
      <c r="C26" s="3">
        <f>IF(C18&lt;=0,"",C19/C18)</f>
      </c>
      <c r="D26" s="3">
        <f>IF(D18&lt;=0,"",D19/D18)</f>
      </c>
      <c r="E26" s="3">
        <f>IF(E18&lt;=0,"",E19/E18)</f>
      </c>
      <c r="F26" s="3">
        <f>IF(F18&lt;=0,"",F19/F18)</f>
      </c>
      <c r="G26" s="3">
        <f>IF(G18&lt;=0,"",G19/G18)</f>
      </c>
    </row>
    <row r="27">
      <c r="B27" t="str">
        <v>Flags</v>
      </c>
      <c r="D27">
        <f>IF(D18&lt;0,"Loss year — tax nil; carry-forward not modelled. ","")&amp;IF(AND(EntType="Proprietorship",D18&gt;5000000),"PBT above ₹50 lakh — surcharge not computed. ","")&amp;IF(AND(EntType&lt;&gt;"Proprietorship",D18&gt;10000000),"PBT above ₹1 crore — surcharge not in the default rate. ","")</f>
      </c>
      <c r="E27">
        <f>IF(E18&lt;0,"Loss year — tax nil; carry-forward not modelled. ","")&amp;IF(AND(EntType="Proprietorship",E18&gt;5000000),"PBT above ₹50 lakh — surcharge not computed. ","")&amp;IF(AND(EntType&lt;&gt;"Proprietorship",E18&gt;10000000),"PBT above ₹1 crore — surcharge not in the default rate. ","")</f>
      </c>
      <c r="F27">
        <f>IF(F18&lt;0,"Loss year — tax nil; carry-forward not modelled. ","")&amp;IF(AND(EntType="Proprietorship",F18&gt;5000000),"PBT above ₹50 lakh — surcharge not computed. ","")&amp;IF(AND(EntType&lt;&gt;"Proprietorship",F18&gt;10000000),"PBT above ₹1 crore — surcharge not in the default rate. ","")</f>
      </c>
      <c r="G27">
        <f>IF(G18&lt;0,"Loss year — tax nil; carry-forward not modelled. ","")&amp;IF(AND(EntType="Proprietorship",G18&gt;5000000),"PBT above ₹50 lakh — surcharge not computed. ","")&amp;IF(AND(EntType&lt;&gt;"Proprietorship",G18&gt;10000000),"PBT above ₹1 crore — surcharge not in the default rate. ","")</f>
      </c>
      <c r="H27" t="str">
        <v>Surcharge, loss set-off and (for a proprietor) other income are not modelled — the flags say when that matters.</v>
      </c>
    </row>
  </sheetData>
  <pageMargins left="0.6" right="0.6" top="0.6" bottom="0.6" header="0.3" footer="0.3"/>
  <ignoredErrors>
    <ignoredError numberStoredAsText="1" sqref="A1:H27"/>
  </ignoredErrors>
</worksheet>
</file>

<file path=xl/worksheets/sheet4.xml><?xml version="1.0" encoding="utf-8"?>
<worksheet xmlns="http://schemas.openxmlformats.org/spreadsheetml/2006/main" xmlns:r="http://schemas.openxmlformats.org/officeDocument/2006/relationships">
  <dimension ref="A1:H28"/>
  <sheetViews>
    <sheetView workbookViewId="0"/>
  </sheetViews>
  <cols>
    <col min="1" max="1" width="2.83203125" customWidth="1"/>
    <col min="2" max="2" width="46.83203125" customWidth="1"/>
    <col min="3" max="3" width="16.83203125" customWidth="1"/>
    <col min="4" max="4" width="16.83203125" customWidth="1"/>
    <col min="5" max="5" width="16.83203125" customWidth="1"/>
    <col min="6" max="6" width="16.83203125" customWidth="1"/>
    <col min="7" max="7" width="16.83203125" customWidth="1"/>
    <col min="8" max="8" width="44.83203125" customWidth="1"/>
  </cols>
  <sheetData>
    <row r="1">
      <c r="B1">
        <f>Assumptions!C2&amp;" — Balance Sheet"</f>
      </c>
    </row>
    <row r="2">
      <c r="B2" t="str">
        <v>as at 31 March · figures in ₹</v>
      </c>
    </row>
    <row r="4">
      <c r="B4" t="str">
        <v>Particulars</v>
      </c>
      <c r="C4">
        <f>"31 Mar "&amp;(Assumptions!C4+1)</f>
      </c>
      <c r="D4">
        <f>"31 Mar "&amp;(Assumptions!C4+2)</f>
      </c>
      <c r="E4">
        <f>"31 Mar "&amp;(Assumptions!C4+3)</f>
      </c>
      <c r="F4">
        <f>"31 Mar "&amp;(Assumptions!C4+4)</f>
      </c>
      <c r="G4">
        <f>"31 Mar "&amp;(Assumptions!C4+5)</f>
      </c>
    </row>
    <row r="5">
      <c r="C5">
        <f>Assumptions!C9</f>
      </c>
      <c r="D5">
        <f>Assumptions!D9</f>
      </c>
      <c r="E5">
        <f>Assumptions!E9</f>
      </c>
      <c r="F5">
        <f>Assumptions!F9</f>
      </c>
      <c r="G5">
        <f>Assumptions!G9</f>
      </c>
    </row>
    <row r="6">
      <c r="B6" t="str">
        <v>LIABILITIES</v>
      </c>
    </row>
    <row r="7">
      <c r="B7" t="str">
        <v>Capital</v>
      </c>
      <c r="C7" s="2">
        <f>Assumptions!C25</f>
      </c>
      <c r="D7" s="2">
        <f>C7+Assumptions!D63</f>
      </c>
      <c r="E7" s="2">
        <f>D7+Assumptions!E63</f>
      </c>
      <c r="F7" s="2">
        <f>E7+Assumptions!F63</f>
      </c>
      <c r="G7" s="2">
        <f>F7+Assumptions!G63</f>
      </c>
    </row>
    <row r="8">
      <c r="B8" t="str">
        <v>Reserves &amp; surplus / accumulated profits</v>
      </c>
      <c r="C8" s="2">
        <f>Assumptions!C26</f>
      </c>
      <c r="D8" s="2">
        <f>C8+PL!D22</f>
      </c>
      <c r="E8" s="2">
        <f>D8+PL!E22</f>
      </c>
      <c r="F8" s="2">
        <f>E8+PL!F22</f>
      </c>
      <c r="G8" s="2">
        <f>F8+PL!G22</f>
      </c>
    </row>
    <row r="9">
      <c r="B9" t="str">
        <v>Owners' funds (net worth)</v>
      </c>
      <c r="C9" s="2">
        <f>C7+C8</f>
      </c>
      <c r="D9" s="2">
        <f>D7+D8</f>
      </c>
      <c r="E9" s="2">
        <f>E7+E8</f>
      </c>
      <c r="F9" s="2">
        <f>F7+F8</f>
      </c>
      <c r="G9" s="2">
        <f>G7+G8</f>
      </c>
    </row>
    <row r="10">
      <c r="B10" t="str">
        <v>Unsecured loans — promoters</v>
      </c>
      <c r="C10" s="2">
        <f>Assumptions!C27</f>
      </c>
      <c r="D10" s="2">
        <f>C10+Assumptions!D64</f>
      </c>
      <c r="E10" s="2">
        <f>D10+Assumptions!E64</f>
      </c>
      <c r="F10" s="2">
        <f>E10+Assumptions!F64</f>
      </c>
      <c r="G10" s="2">
        <f>F10+Assumptions!G64</f>
      </c>
    </row>
    <row r="11">
      <c r="B11" t="str">
        <v>Term loans</v>
      </c>
      <c r="C11" s="2">
        <f>Assumptions!C28</f>
      </c>
      <c r="D11" s="2">
        <f>C11+Assumptions!D51-Assumptions!D52</f>
      </c>
      <c r="E11" s="2">
        <f>D11+Assumptions!E51-Assumptions!E52</f>
      </c>
      <c r="F11" s="2">
        <f>E11+Assumptions!F51-Assumptions!F52</f>
      </c>
      <c r="G11" s="2">
        <f>F11+Assumptions!G51-Assumptions!G52</f>
      </c>
    </row>
    <row r="12">
      <c r="B12" t="str">
        <v>Cash credit / working-capital borrowing</v>
      </c>
      <c r="C12" s="2">
        <f>Assumptions!C29</f>
      </c>
      <c r="D12" s="2">
        <f>MAX(0,D26)</f>
      </c>
      <c r="E12" s="2">
        <f>MAX(0,E26)</f>
      </c>
      <c r="F12" s="2">
        <f>MAX(0,F26)</f>
      </c>
      <c r="G12" s="2">
        <f>MAX(0,G26)</f>
      </c>
      <c r="H12" t="str">
        <v>The limit actually needed. Compare it with the sanctioned limit on Assumptions row 54 — the gap, if any, is on row 28.</v>
      </c>
    </row>
    <row r="13">
      <c r="B13" t="str">
        <v>Sundry creditors</v>
      </c>
      <c r="C13" s="2">
        <f>Assumptions!C30</f>
      </c>
      <c r="D13" s="2">
        <f>ROUND(PL!D9*Assumptions!D59/365,0)</f>
      </c>
      <c r="E13" s="2">
        <f>ROUND(PL!E9*Assumptions!E59/365,0)</f>
      </c>
      <c r="F13" s="2">
        <f>ROUND(PL!F9*Assumptions!F59/365,0)</f>
      </c>
      <c r="G13" s="2">
        <f>ROUND(PL!G9*Assumptions!G59/365,0)</f>
      </c>
    </row>
    <row r="14">
      <c r="B14" t="str">
        <v>Other current liabilities &amp; provisions</v>
      </c>
      <c r="C14" s="2">
        <f>Assumptions!C31</f>
      </c>
      <c r="D14" s="2">
        <f>ROUND(PL!D6*Assumptions!D60,0)</f>
      </c>
      <c r="E14" s="2">
        <f>ROUND(PL!E6*Assumptions!E60,0)</f>
      </c>
      <c r="F14" s="2">
        <f>ROUND(PL!F6*Assumptions!F60,0)</f>
      </c>
      <c r="G14" s="2">
        <f>ROUND(PL!G6*Assumptions!G60,0)</f>
      </c>
    </row>
    <row r="15">
      <c r="B15" t="str">
        <v>TOTAL</v>
      </c>
      <c r="C15" s="2">
        <f>C9+SUM(C10:C14)</f>
      </c>
      <c r="D15" s="2">
        <f>D9+SUM(D10:D14)</f>
      </c>
      <c r="E15" s="2">
        <f>E9+SUM(E10:E14)</f>
      </c>
      <c r="F15" s="2">
        <f>F9+SUM(F10:F14)</f>
      </c>
      <c r="G15" s="2">
        <f>G9+SUM(G10:G14)</f>
      </c>
    </row>
    <row r="16">
      <c r="B16" t="str">
        <v>ASSETS</v>
      </c>
    </row>
    <row r="17">
      <c r="B17" t="str">
        <v>Gross fixed assets</v>
      </c>
      <c r="C17" s="2">
        <f>Assumptions!C32</f>
      </c>
      <c r="D17" s="2">
        <f>C17+Assumptions!D50</f>
      </c>
      <c r="E17" s="2">
        <f>D17+Assumptions!E50</f>
      </c>
      <c r="F17" s="2">
        <f>E17+Assumptions!F50</f>
      </c>
      <c r="G17" s="2">
        <f>F17+Assumptions!G50</f>
      </c>
    </row>
    <row r="18">
      <c r="B18" t="str">
        <v>Less: accumulated depreciation</v>
      </c>
      <c r="C18" s="2">
        <f>Assumptions!C33</f>
      </c>
      <c r="D18" s="2">
        <f>C18+PL!D15</f>
      </c>
      <c r="E18" s="2">
        <f>D18+PL!E15</f>
      </c>
      <c r="F18" s="2">
        <f>E18+PL!F15</f>
      </c>
      <c r="G18" s="2">
        <f>F18+PL!G15</f>
      </c>
    </row>
    <row r="19">
      <c r="B19" t="str">
        <v>Net fixed assets</v>
      </c>
      <c r="C19" s="2">
        <f>C17-C18</f>
      </c>
      <c r="D19" s="2">
        <f>D17-D18</f>
      </c>
      <c r="E19" s="2">
        <f>E17-E18</f>
      </c>
      <c r="F19" s="2">
        <f>F17-F18</f>
      </c>
      <c r="G19" s="2">
        <f>G17-G18</f>
      </c>
    </row>
    <row r="20">
      <c r="B20" t="str">
        <v>Investments &amp; long-term deposits</v>
      </c>
      <c r="C20" s="2">
        <f>Assumptions!C34</f>
      </c>
      <c r="D20" s="2">
        <f>C20+Assumptions!D62</f>
      </c>
      <c r="E20" s="2">
        <f>D20+Assumptions!E62</f>
      </c>
      <c r="F20" s="2">
        <f>E20+Assumptions!F62</f>
      </c>
      <c r="G20" s="2">
        <f>F20+Assumptions!G62</f>
      </c>
    </row>
    <row r="21">
      <c r="B21" t="str">
        <v>Inventory</v>
      </c>
      <c r="C21" s="2">
        <f>Assumptions!C35</f>
      </c>
      <c r="D21" s="2">
        <f>ROUND(PL!D9*Assumptions!D57/365,0)</f>
      </c>
      <c r="E21" s="2">
        <f>ROUND(PL!E9*Assumptions!E57/365,0)</f>
      </c>
      <c r="F21" s="2">
        <f>ROUND(PL!F9*Assumptions!F57/365,0)</f>
      </c>
      <c r="G21" s="2">
        <f>ROUND(PL!G9*Assumptions!G57/365,0)</f>
      </c>
    </row>
    <row r="22">
      <c r="B22" t="str">
        <v>Sundry debtors</v>
      </c>
      <c r="C22" s="2">
        <f>Assumptions!C36</f>
      </c>
      <c r="D22" s="2">
        <f>ROUND(PL!D6*Assumptions!D58/365,0)</f>
      </c>
      <c r="E22" s="2">
        <f>ROUND(PL!E6*Assumptions!E58/365,0)</f>
      </c>
      <c r="F22" s="2">
        <f>ROUND(PL!F6*Assumptions!F58/365,0)</f>
      </c>
      <c r="G22" s="2">
        <f>ROUND(PL!G6*Assumptions!G58/365,0)</f>
      </c>
    </row>
    <row r="23">
      <c r="B23" t="str">
        <v>Cash &amp; bank balances</v>
      </c>
      <c r="C23" s="2">
        <f>Assumptions!C37</f>
      </c>
      <c r="D23" s="2">
        <f>Assumptions!D66+MAX(0,-D26)</f>
      </c>
      <c r="E23" s="2">
        <f>Assumptions!E66+MAX(0,-E26)</f>
      </c>
      <c r="F23" s="2">
        <f>Assumptions!F66+MAX(0,-F26)</f>
      </c>
      <c r="G23" s="2">
        <f>Assumptions!G66+MAX(0,-G26)</f>
      </c>
    </row>
    <row r="24">
      <c r="B24" t="str">
        <v>Loans, advances &amp; other current assets</v>
      </c>
      <c r="C24" s="2">
        <f>Assumptions!C38</f>
      </c>
      <c r="D24" s="2">
        <f>ROUND(PL!D6*Assumptions!D61,0)</f>
      </c>
      <c r="E24" s="2">
        <f>ROUND(PL!E6*Assumptions!E61,0)</f>
      </c>
      <c r="F24" s="2">
        <f>ROUND(PL!F6*Assumptions!F61,0)</f>
      </c>
      <c r="G24" s="2">
        <f>ROUND(PL!G6*Assumptions!G61,0)</f>
      </c>
    </row>
    <row r="25">
      <c r="B25" t="str">
        <v>TOTAL</v>
      </c>
      <c r="C25" s="2">
        <f>C19+SUM(C20:C24)</f>
      </c>
      <c r="D25" s="2">
        <f>D19+SUM(D20:D24)</f>
      </c>
      <c r="E25" s="2">
        <f>E19+SUM(E20:E24)</f>
      </c>
      <c r="F25" s="2">
        <f>F19+SUM(F20:F24)</f>
      </c>
      <c r="G25" s="2">
        <f>G19+SUM(G20:G24)</f>
      </c>
    </row>
    <row r="26">
      <c r="B26" t="str">
        <v>(working — bank finance is the balancing figure)</v>
      </c>
      <c r="D26" s="2">
        <f>(D19+D20+D21+D22+D24+Assumptions!D66)-(D9+D10+D11+D13+D14)</f>
      </c>
      <c r="E26" s="2">
        <f>(E19+E20+E21+E22+E24+Assumptions!E66)-(E9+E10+E11+E13+E14)</f>
      </c>
      <c r="F26" s="2">
        <f>(F19+F20+F21+F22+F24+Assumptions!F66)-(F9+F10+F11+F13+F14)</f>
      </c>
      <c r="G26" s="2">
        <f>(G19+G20+G21+G22+G24+Assumptions!G66)-(G9+G10+G11+G13+G14)</f>
      </c>
      <c r="H26" t="str">
        <v>B1. Cash credit = MAX(0, this figure); cash = the minimum you set + MAX(0, −this figure). That identity is why every year balances.</v>
      </c>
    </row>
    <row r="27">
      <c r="B27" t="str">
        <v>Check</v>
      </c>
      <c r="C27">
        <f>IF(ABS(C25-C15)&lt;1,"Balances","Audited figures off by ₹"&amp;TEXT(C25-C15,"#,##0")&amp;" — fix section A/B first")</f>
      </c>
      <c r="D27">
        <f>IF(ABS(D25-D15)&lt;1,"Balances","Off by ₹"&amp;TEXT(D25-D15,"#,##0"))</f>
      </c>
      <c r="E27">
        <f>IF(ABS(E25-E15)&lt;1,"Balances","Off by ₹"&amp;TEXT(E25-E15,"#,##0"))</f>
      </c>
      <c r="F27">
        <f>IF(ABS(F25-F15)&lt;1,"Balances","Off by ₹"&amp;TEXT(F25-F15,"#,##0"))</f>
      </c>
      <c r="G27">
        <f>IF(ABS(G25-G15)&lt;1,"Balances","Off by ₹"&amp;TEXT(G25-G15,"#,##0"))</f>
      </c>
    </row>
    <row r="28">
      <c r="B28" t="str">
        <v>Flags</v>
      </c>
      <c r="D28">
        <f>IF(D12&gt;Assumptions!D54,"Funding gap of ₹"&amp;TEXT(D12-Assumptions!D54,"#,##0")&amp;" beyond the CC limit — add capital or unsecured loan, cut capex, or seek a higher limit. ","")&amp;IF(D11&lt;0,"Term-loan repayment exceeds the loan outstanding. ","")</f>
      </c>
      <c r="E28">
        <f>IF(E12&gt;Assumptions!E54,"Funding gap of ₹"&amp;TEXT(E12-Assumptions!E54,"#,##0")&amp;" beyond the CC limit — add capital or unsecured loan, cut capex, or seek a higher limit. ","")&amp;IF(E11&lt;0,"Term-loan repayment exceeds the loan outstanding. ","")</f>
      </c>
      <c r="F28">
        <f>IF(F12&gt;Assumptions!F54,"Funding gap of ₹"&amp;TEXT(F12-Assumptions!F54,"#,##0")&amp;" beyond the CC limit — add capital or unsecured loan, cut capex, or seek a higher limit. ","")&amp;IF(F11&lt;0,"Term-loan repayment exceeds the loan outstanding. ","")</f>
      </c>
      <c r="G28">
        <f>IF(G12&gt;Assumptions!G54,"Funding gap of ₹"&amp;TEXT(G12-Assumptions!G54,"#,##0")&amp;" beyond the CC limit — add capital or unsecured loan, cut capex, or seek a higher limit. ","")&amp;IF(G11&lt;0,"Term-loan repayment exceeds the loan outstanding. ","")</f>
      </c>
    </row>
  </sheetData>
  <pageMargins left="0.6" right="0.6" top="0.6" bottom="0.6" header="0.3" footer="0.3"/>
  <ignoredErrors>
    <ignoredError numberStoredAsText="1" sqref="A1:H28"/>
  </ignoredErrors>
</worksheet>
</file>

<file path=xl/worksheets/sheet5.xml><?xml version="1.0" encoding="utf-8"?>
<worksheet xmlns="http://schemas.openxmlformats.org/spreadsheetml/2006/main" xmlns:r="http://schemas.openxmlformats.org/officeDocument/2006/relationships">
  <dimension ref="A1:H34"/>
  <sheetViews>
    <sheetView workbookViewId="0"/>
  </sheetViews>
  <cols>
    <col min="1" max="1" width="2.83203125" customWidth="1"/>
    <col min="2" max="2" width="46.83203125" customWidth="1"/>
    <col min="3" max="3" width="16.83203125" customWidth="1"/>
    <col min="4" max="4" width="16.83203125" customWidth="1"/>
    <col min="5" max="5" width="16.83203125" customWidth="1"/>
    <col min="6" max="6" width="16.83203125" customWidth="1"/>
    <col min="7" max="7" width="16.83203125" customWidth="1"/>
    <col min="8" max="8" width="44.83203125" customWidth="1"/>
  </cols>
  <sheetData>
    <row r="1">
      <c r="B1">
        <f>Assumptions!C2&amp;" — Ratios the bank reads"</f>
      </c>
    </row>
    <row r="2">
      <c r="B2" t="str">
        <v>Benchmarks are editable on the Assumptions sheet, rows 71 to 75</v>
      </c>
    </row>
    <row r="4">
      <c r="B4" t="str">
        <v>Particulars</v>
      </c>
      <c r="C4">
        <f>Assumptions!C8</f>
      </c>
      <c r="D4">
        <f>Assumptions!D8</f>
      </c>
      <c r="E4">
        <f>Assumptions!E8</f>
      </c>
      <c r="F4">
        <f>Assumptions!F8</f>
      </c>
      <c r="G4">
        <f>Assumptions!G8</f>
      </c>
    </row>
    <row r="5">
      <c r="C5">
        <f>Assumptions!C9</f>
      </c>
      <c r="D5">
        <f>Assumptions!D9</f>
      </c>
      <c r="E5">
        <f>Assumptions!E9</f>
      </c>
      <c r="F5">
        <f>Assumptions!F9</f>
      </c>
      <c r="G5">
        <f>Assumptions!G9</f>
      </c>
    </row>
    <row r="6">
      <c r="B6" t="str">
        <v>Current assets</v>
      </c>
      <c r="C6" s="2">
        <f>BS!C21+BS!C22+BS!C23+BS!C24</f>
      </c>
      <c r="D6" s="2">
        <f>BS!D21+BS!D22+BS!D23+BS!D24</f>
      </c>
      <c r="E6" s="2">
        <f>BS!E21+BS!E22+BS!E23+BS!E24</f>
      </c>
      <c r="F6" s="2">
        <f>BS!F21+BS!F22+BS!F23+BS!F24</f>
      </c>
      <c r="G6" s="2">
        <f>BS!G21+BS!G22+BS!G23+BS!G24</f>
      </c>
    </row>
    <row r="7">
      <c r="B7" t="str">
        <v>Term-loan instalments due within 12 months (P6)</v>
      </c>
      <c r="C7" s="2">
        <f>Assumptions!C40</f>
      </c>
      <c r="D7" s="2">
        <f>Assumptions!E52</f>
      </c>
      <c r="E7" s="2">
        <f>Assumptions!F52</f>
      </c>
      <c r="F7" s="2">
        <f>Assumptions!G52</f>
      </c>
      <c r="G7" s="2">
        <f>Assumptions!G52</f>
      </c>
      <c r="H7" t="str">
        <v>Year 4 has no year 5, so its figure uses year 4's own repayment as the proxy (M8).</v>
      </c>
    </row>
    <row r="8">
      <c r="B8" t="str">
        <v>Current liabilities</v>
      </c>
      <c r="C8" s="2">
        <f>BS!C12+BS!C13+BS!C14+C7</f>
      </c>
      <c r="D8" s="2">
        <f>BS!D12+BS!D13+BS!D14+D7</f>
      </c>
      <c r="E8" s="2">
        <f>BS!E12+BS!E13+BS!E14+E7</f>
      </c>
      <c r="F8" s="2">
        <f>BS!F12+BS!F13+BS!F14+F7</f>
      </c>
      <c r="G8" s="2">
        <f>BS!G12+BS!G13+BS!G14+G7</f>
      </c>
    </row>
    <row r="9">
      <c r="B9" t="str">
        <v>Current ratio</v>
      </c>
      <c r="C9" s="5">
        <f>IF(C8=0,"n/a",ROUND(C6/C8,2))</f>
      </c>
      <c r="D9" s="5">
        <f>IF(D8=0,"n/a",ROUND(D6/D8,2))</f>
      </c>
      <c r="E9" s="5">
        <f>IF(E8=0,"n/a",ROUND(E6/E8,2))</f>
      </c>
      <c r="F9" s="5">
        <f>IF(F8=0,"n/a",ROUND(F6/F8,2))</f>
      </c>
      <c r="G9" s="5">
        <f>IF(G8=0,"n/a",ROUND(G6/G8,2))</f>
      </c>
    </row>
    <row r="10">
      <c r="B10" t="str">
        <v>vs benchmark</v>
      </c>
      <c r="C10">
        <f>IF(C9="n/a","",IF(C9&gt;=Assumptions!$C$71,"OK","Below norm"))</f>
      </c>
      <c r="D10">
        <f>IF(D9="n/a","",IF(D9&gt;=Assumptions!$C$71,"OK","Below norm"))</f>
      </c>
      <c r="E10">
        <f>IF(E9="n/a","",IF(E9&gt;=Assumptions!$C$71,"OK","Below norm"))</f>
      </c>
      <c r="F10">
        <f>IF(F9="n/a","",IF(F9&gt;=Assumptions!$C$71,"OK","Below norm"))</f>
      </c>
      <c r="G10">
        <f>IF(G9="n/a","",IF(G9&gt;=Assumptions!$C$71,"OK","Below norm"))</f>
      </c>
    </row>
    <row r="11">
      <c r="B11" t="str">
        <v>Net working capital</v>
      </c>
      <c r="C11" s="2">
        <f>C6-C8</f>
      </c>
      <c r="D11" s="2">
        <f>D6-D8</f>
      </c>
      <c r="E11" s="2">
        <f>E6-E8</f>
      </c>
      <c r="F11" s="2">
        <f>F6-F8</f>
      </c>
      <c r="G11" s="2">
        <f>G6-G8</f>
      </c>
    </row>
    <row r="12">
      <c r="B12" t="str">
        <v>NWC as % of current assets (Tandon 25%)</v>
      </c>
      <c r="C12" s="3">
        <f>IF(C6=0,"",C11/C6)</f>
      </c>
      <c r="D12" s="3">
        <f>IF(D6=0,"",D11/D6)</f>
      </c>
      <c r="E12" s="3">
        <f>IF(E6=0,"",E11/E6)</f>
      </c>
      <c r="F12" s="3">
        <f>IF(F6=0,"",F11/F6)</f>
      </c>
      <c r="G12" s="3">
        <f>IF(G6=0,"",G11/G6)</f>
      </c>
    </row>
    <row r="13">
      <c r="B13" t="str">
        <v>Indicative MPBF — Tandon II (B3)</v>
      </c>
      <c r="C13" s="2">
        <f>ROUND(0.75*C6-(C8-BS!C12),0)</f>
      </c>
      <c r="D13" s="2">
        <f>ROUND(0.75*D6-(D8-BS!D12),0)</f>
      </c>
      <c r="E13" s="2">
        <f>ROUND(0.75*E6-(E8-BS!E12),0)</f>
      </c>
      <c r="F13" s="2">
        <f>ROUND(0.75*F6-(F8-BS!F12),0)</f>
      </c>
      <c r="G13" s="2">
        <f>ROUND(0.75*G6-(G8-BS!G12),0)</f>
      </c>
    </row>
    <row r="14">
      <c r="B14" t="str">
        <v>CC limit assumed</v>
      </c>
      <c r="D14" s="2">
        <f>Assumptions!D54</f>
      </c>
      <c r="E14" s="2">
        <f>Assumptions!E54</f>
      </c>
      <c r="F14" s="2">
        <f>Assumptions!F54</f>
      </c>
      <c r="G14" s="2">
        <f>Assumptions!G54</f>
      </c>
    </row>
    <row r="15">
      <c r="B15" t="str">
        <v>Limit vs MPBF</v>
      </c>
      <c r="D15">
        <f>IF(D14&gt;D13,"Limit exceeds indicative MPBF by ₹"&amp;TEXT(D14-D13,"#,##0"),"Within indicative MPBF")</f>
      </c>
      <c r="E15">
        <f>IF(E14&gt;E13,"Limit exceeds indicative MPBF by ₹"&amp;TEXT(E14-E13,"#,##0"),"Within indicative MPBF")</f>
      </c>
      <c r="F15">
        <f>IF(F14&gt;F13,"Limit exceeds indicative MPBF by ₹"&amp;TEXT(F14-F13,"#,##0"),"Within indicative MPBF")</f>
      </c>
      <c r="G15">
        <f>IF(G14&gt;G13,"Limit exceeds indicative MPBF by ₹"&amp;TEXT(G14-G13,"#,##0"),"Within indicative MPBF")</f>
      </c>
    </row>
    <row r="16">
      <c r="B16" t="str">
        <v>Tangible net worth (B5)</v>
      </c>
      <c r="C16" s="2">
        <f>BS!C9-Assumptions!$C$39+IF(QuasiEq="Y",BS!C10,0)</f>
      </c>
      <c r="D16" s="2">
        <f>BS!D9-Assumptions!$C$39+IF(QuasiEq="Y",BS!D10,0)</f>
      </c>
      <c r="E16" s="2">
        <f>BS!E9-Assumptions!$C$39+IF(QuasiEq="Y",BS!E10,0)</f>
      </c>
      <c r="F16" s="2">
        <f>BS!F9-Assumptions!$C$39+IF(QuasiEq="Y",BS!F10,0)</f>
      </c>
      <c r="G16" s="2">
        <f>BS!G9-Assumptions!$C$39+IF(QuasiEq="Y",BS!G10,0)</f>
      </c>
    </row>
    <row r="17">
      <c r="B17" t="str">
        <v>Total outside liabilities</v>
      </c>
      <c r="C17" s="2">
        <f>BS!C15-BS!C9-IF(QuasiEq="Y",BS!C10,0)</f>
      </c>
      <c r="D17" s="2">
        <f>BS!D15-BS!D9-IF(QuasiEq="Y",BS!D10,0)</f>
      </c>
      <c r="E17" s="2">
        <f>BS!E15-BS!E9-IF(QuasiEq="Y",BS!E10,0)</f>
      </c>
      <c r="F17" s="2">
        <f>BS!F15-BS!F9-IF(QuasiEq="Y",BS!F10,0)</f>
      </c>
      <c r="G17" s="2">
        <f>BS!G15-BS!G9-IF(QuasiEq="Y",BS!G10,0)</f>
      </c>
    </row>
    <row r="18">
      <c r="B18" t="str">
        <v>TOL / TNW</v>
      </c>
      <c r="C18" s="5">
        <f>IF(C16&lt;=0,"n/a",ROUND(C17/C16,2))</f>
      </c>
      <c r="D18" s="5">
        <f>IF(D16&lt;=0,"n/a",ROUND(D17/D16,2))</f>
      </c>
      <c r="E18" s="5">
        <f>IF(E16&lt;=0,"n/a",ROUND(E17/E16,2))</f>
      </c>
      <c r="F18" s="5">
        <f>IF(F16&lt;=0,"n/a",ROUND(F17/F16,2))</f>
      </c>
      <c r="G18" s="5">
        <f>IF(G16&lt;=0,"n/a",ROUND(G17/G16,2))</f>
      </c>
    </row>
    <row r="19">
      <c r="B19" t="str">
        <v>vs benchmark</v>
      </c>
      <c r="C19">
        <f>IF(C18="n/a","",IF(C18&lt;=Assumptions!$C$72,"OK","Above norm"))</f>
      </c>
      <c r="D19">
        <f>IF(D18="n/a","",IF(D18&lt;=Assumptions!$C$72,"OK","Above norm"))</f>
      </c>
      <c r="E19">
        <f>IF(E18="n/a","",IF(E18&lt;=Assumptions!$C$72,"OK","Above norm"))</f>
      </c>
      <c r="F19">
        <f>IF(F18="n/a","",IF(F18&lt;=Assumptions!$C$72,"OK","Above norm"))</f>
      </c>
      <c r="G19">
        <f>IF(G18="n/a","",IF(G18&lt;=Assumptions!$C$72,"OK","Above norm"))</f>
      </c>
    </row>
    <row r="20">
      <c r="B20" t="str">
        <v>Long-term debt</v>
      </c>
      <c r="C20" s="2">
        <f>BS!C11+IF(QuasiEq="Y",0,BS!C10)</f>
      </c>
      <c r="D20" s="2">
        <f>BS!D11+IF(QuasiEq="Y",0,BS!D10)</f>
      </c>
      <c r="E20" s="2">
        <f>BS!E11+IF(QuasiEq="Y",0,BS!E10)</f>
      </c>
      <c r="F20" s="2">
        <f>BS!F11+IF(QuasiEq="Y",0,BS!F10)</f>
      </c>
      <c r="G20" s="2">
        <f>BS!G11+IF(QuasiEq="Y",0,BS!G10)</f>
      </c>
    </row>
    <row r="21">
      <c r="B21" t="str">
        <v>Debt-equity</v>
      </c>
      <c r="C21" s="5">
        <f>IF(C16&lt;=0,"n/a",ROUND(C20/C16,2))</f>
      </c>
      <c r="D21" s="5">
        <f>IF(D16&lt;=0,"n/a",ROUND(D20/D16,2))</f>
      </c>
      <c r="E21" s="5">
        <f>IF(E16&lt;=0,"n/a",ROUND(E20/E16,2))</f>
      </c>
      <c r="F21" s="5">
        <f>IF(F16&lt;=0,"n/a",ROUND(F20/F16,2))</f>
      </c>
      <c r="G21" s="5">
        <f>IF(G16&lt;=0,"n/a",ROUND(G20/G16,2))</f>
      </c>
    </row>
    <row r="22">
      <c r="B22" t="str">
        <v>vs benchmark</v>
      </c>
      <c r="C22">
        <f>IF(C21="n/a","",IF(C21&lt;=Assumptions!$C$75,"OK","Above norm"))</f>
      </c>
      <c r="D22">
        <f>IF(D21="n/a","",IF(D21&lt;=Assumptions!$C$75,"OK","Above norm"))</f>
      </c>
      <c r="E22">
        <f>IF(E21="n/a","",IF(E21&lt;=Assumptions!$C$75,"OK","Above norm"))</f>
      </c>
      <c r="F22">
        <f>IF(F21="n/a","",IF(F21&lt;=Assumptions!$C$75,"OK","Above norm"))</f>
      </c>
      <c r="G22">
        <f>IF(G21="n/a","",IF(G21&lt;=Assumptions!$C$75,"OK","Above norm"))</f>
      </c>
    </row>
    <row r="23">
      <c r="B23" t="str">
        <v>Cash available for debt service (PAT + dep + TL interest)</v>
      </c>
      <c r="C23" s="2">
        <f>PL!C20+PL!C15+PL!C16</f>
      </c>
      <c r="D23" s="2">
        <f>PL!D20+PL!D15+PL!D16</f>
      </c>
      <c r="E23" s="2">
        <f>PL!E20+PL!E15+PL!E16</f>
      </c>
      <c r="F23" s="2">
        <f>PL!F20+PL!F15+PL!F16</f>
      </c>
      <c r="G23" s="2">
        <f>PL!G20+PL!G15+PL!G16</f>
      </c>
    </row>
    <row r="24">
      <c r="B24" t="str">
        <v>Debt service (TL interest + principal repaid)</v>
      </c>
      <c r="C24" s="2">
        <f>PL!C16+Assumptions!C41</f>
      </c>
      <c r="D24" s="2">
        <f>PL!D16+Assumptions!D52</f>
      </c>
      <c r="E24" s="2">
        <f>PL!E16+Assumptions!E52</f>
      </c>
      <c r="F24" s="2">
        <f>PL!F16+Assumptions!F52</f>
      </c>
      <c r="G24" s="2">
        <f>PL!G16+Assumptions!G52</f>
      </c>
    </row>
    <row r="25">
      <c r="B25" t="str">
        <v>DSCR (B6)</v>
      </c>
      <c r="C25" s="5">
        <f>IF(C24=0,"n/a",ROUND(C23/C24,2))</f>
      </c>
      <c r="D25" s="5">
        <f>IF(D24=0,"n/a",ROUND(D23/D24,2))</f>
      </c>
      <c r="E25" s="5">
        <f>IF(E24=0,"n/a",ROUND(E23/E24,2))</f>
      </c>
      <c r="F25" s="5">
        <f>IF(F24=0,"n/a",ROUND(F23/F24,2))</f>
      </c>
      <c r="G25" s="5">
        <f>IF(G24=0,"n/a",ROUND(G23/G24,2))</f>
      </c>
    </row>
    <row r="26">
      <c r="B26" t="str">
        <v>vs benchmark (each year)</v>
      </c>
      <c r="C26">
        <f>IF(C25="n/a","",IF(C25&gt;=Assumptions!$C$73,"OK","Below norm"))</f>
      </c>
      <c r="D26">
        <f>IF(D25="n/a","",IF(D25&gt;=Assumptions!$C$73,"OK","Below norm"))</f>
      </c>
      <c r="E26">
        <f>IF(E25="n/a","",IF(E25&gt;=Assumptions!$C$73,"OK","Below norm"))</f>
      </c>
      <c r="F26">
        <f>IF(F25="n/a","",IF(F25&gt;=Assumptions!$C$73,"OK","Below norm"))</f>
      </c>
      <c r="G26">
        <f>IF(G25="n/a","",IF(G25&gt;=Assumptions!$C$73,"OK","Below norm"))</f>
      </c>
    </row>
    <row r="27">
      <c r="B27" t="str">
        <v>Average DSCR, Y1–Y4</v>
      </c>
      <c r="C27" s="5">
        <f>IFERROR(ROUND(AVERAGE(D25:G25),2),"n/a")</f>
      </c>
      <c r="D27">
        <f>IF(C27="n/a","",IF(C27&gt;=Assumptions!$C$74,"Average OK","Average below norm"))</f>
      </c>
      <c r="H27" t="str">
        <v>The average is taken over the four projected years only, and is reported once.</v>
      </c>
    </row>
    <row r="28">
      <c r="B28" t="str">
        <v>Interest cover (EBITDA / all interest)</v>
      </c>
      <c r="C28" s="5">
        <f>IF((PL!C16+PL!C17)=0,"n/a",ROUND(PL!C14/(PL!C16+PL!C17),2))</f>
      </c>
      <c r="D28" s="5">
        <f>IF((PL!D16+PL!D17)=0,"n/a",ROUND(PL!D14/(PL!D16+PL!D17),2))</f>
      </c>
      <c r="E28" s="5">
        <f>IF((PL!E16+PL!E17)=0,"n/a",ROUND(PL!E14/(PL!E16+PL!E17),2))</f>
      </c>
      <c r="F28" s="5">
        <f>IF((PL!F16+PL!F17)=0,"n/a",ROUND(PL!F14/(PL!F16+PL!F17),2))</f>
      </c>
      <c r="G28" s="5">
        <f>IF((PL!G16+PL!G17)=0,"n/a",ROUND(PL!G14/(PL!G16+PL!G17),2))</f>
      </c>
    </row>
    <row r="29">
      <c r="B29" t="str">
        <v>EBITDA margin %</v>
      </c>
      <c r="C29" s="3">
        <f>PL!C24</f>
      </c>
      <c r="D29" s="3">
        <f>PL!D24</f>
      </c>
      <c r="E29" s="3">
        <f>PL!E24</f>
      </c>
      <c r="F29" s="3">
        <f>PL!F24</f>
      </c>
      <c r="G29" s="3">
        <f>PL!G24</f>
      </c>
    </row>
    <row r="30">
      <c r="B30" t="str">
        <v>PAT margin %</v>
      </c>
      <c r="C30" s="3">
        <f>PL!C25</f>
      </c>
      <c r="D30" s="3">
        <f>PL!D25</f>
      </c>
      <c r="E30" s="3">
        <f>PL!E25</f>
      </c>
      <c r="F30" s="3">
        <f>PL!F25</f>
      </c>
      <c r="G30" s="3">
        <f>PL!G25</f>
      </c>
    </row>
    <row r="31">
      <c r="B31" t="str">
        <v>Sales growth %</v>
      </c>
      <c r="D31" s="3">
        <f>IF(PL!C6=0,"",PL!D6/PL!C6-1)</f>
      </c>
      <c r="E31" s="3">
        <f>IF(PL!D6=0,"",PL!E6/PL!D6-1)</f>
      </c>
      <c r="F31" s="3">
        <f>IF(PL!E6=0,"",PL!F6/PL!E6-1)</f>
      </c>
      <c r="G31" s="3">
        <f>IF(PL!F6=0,"",PL!G6/PL!F6-1)</f>
      </c>
    </row>
    <row r="32">
      <c r="B32" t="str">
        <v>Return on owners' funds %</v>
      </c>
      <c r="C32" s="3">
        <f>IF(BS!C9&lt;=0,"",PL!C20/BS!C9)</f>
      </c>
      <c r="D32" s="3">
        <f>IF(BS!D9&lt;=0,"",PL!D20/BS!D9)</f>
      </c>
      <c r="E32" s="3">
        <f>IF(BS!E9&lt;=0,"",PL!E20/BS!E9)</f>
      </c>
      <c r="F32" s="3">
        <f>IF(BS!F9&lt;=0,"",PL!F20/BS!F9)</f>
      </c>
      <c r="G32" s="3">
        <f>IF(BS!G9&lt;=0,"",PL!G20/BS!G9)</f>
      </c>
    </row>
    <row r="34">
      <c r="B34" t="str">
        <v>Benchmarks are bank norms, not law (SPEC B2–B7). Edit Assumptions rows 71–75 to your sanction letter. Some banks put all interest in the DSCR; row 28 is that view.</v>
      </c>
    </row>
  </sheetData>
  <ignoredErrors>
    <ignoredError numberStoredAsText="1" sqref="A1:H34"/>
  </ignoredErrors>
</worksheet>
</file>

<file path=xl/worksheets/sheet6.xml><?xml version="1.0" encoding="utf-8"?>
<worksheet xmlns="http://schemas.openxmlformats.org/spreadsheetml/2006/main" xmlns:r="http://schemas.openxmlformats.org/officeDocument/2006/relationships">
  <dimension ref="A1:F49"/>
  <sheetViews>
    <sheetView workbookViewId="0"/>
  </sheetViews>
  <cols>
    <col min="1" max="1" width="100.83203125" customWidth="1"/>
    <col min="2" max="2" width="16.83203125" customWidth="1"/>
    <col min="3" max="3" width="16.83203125" customWidth="1"/>
    <col min="4" max="4" width="16.83203125" customWidth="1"/>
    <col min="5" max="5" width="16.83203125" customWidth="1"/>
    <col min="6" max="6" width="16.83203125" customWidth="1"/>
  </cols>
  <sheetData>
    <row r="1">
      <c r="A1">
        <f>Assumptions!C2</f>
      </c>
    </row>
    <row r="2">
      <c r="A2">
        <f>"Provisional and projected financial statements — prepared for "&amp;Assumptions!C5&amp;" — "&amp;Assumptions!C6</f>
      </c>
    </row>
    <row r="3">
      <c r="A3" t="str">
        <v>Prepared on: ____________ · Figures in ₹</v>
      </c>
    </row>
    <row r="5">
      <c r="A5" t="str">
        <v>Particulars</v>
      </c>
      <c r="B5">
        <f>Assumptions!C8</f>
      </c>
      <c r="C5">
        <f>Assumptions!D8</f>
      </c>
      <c r="D5">
        <f>Assumptions!E8</f>
      </c>
      <c r="E5">
        <f>Assumptions!F8</f>
      </c>
      <c r="F5">
        <f>Assumptions!G8</f>
      </c>
    </row>
    <row r="6">
      <c r="B6">
        <f>Assumptions!C9</f>
      </c>
      <c r="C6">
        <f>Assumptions!D9</f>
      </c>
      <c r="D6">
        <f>Assumptions!E9</f>
      </c>
      <c r="E6">
        <f>Assumptions!F9</f>
      </c>
      <c r="F6">
        <f>Assumptions!G9</f>
      </c>
    </row>
    <row r="7">
      <c r="A7" t="str">
        <v>Sales</v>
      </c>
      <c r="B7" s="2">
        <f>PL!C6</f>
      </c>
      <c r="C7" s="2">
        <f>PL!D6</f>
      </c>
      <c r="D7" s="2">
        <f>PL!E6</f>
      </c>
      <c r="E7" s="2">
        <f>PL!F6</f>
      </c>
      <c r="F7" s="2">
        <f>PL!G6</f>
      </c>
    </row>
    <row r="8">
      <c r="A8" t="str">
        <v>EBITDA</v>
      </c>
      <c r="B8" s="2">
        <f>PL!C14</f>
      </c>
      <c r="C8" s="2">
        <f>PL!D14</f>
      </c>
      <c r="D8" s="2">
        <f>PL!E14</f>
      </c>
      <c r="E8" s="2">
        <f>PL!F14</f>
      </c>
      <c r="F8" s="2">
        <f>PL!G14</f>
      </c>
    </row>
    <row r="9">
      <c r="A9" t="str">
        <v>Profit after tax</v>
      </c>
      <c r="B9" s="2">
        <f>PL!C20</f>
      </c>
      <c r="C9" s="2">
        <f>PL!D20</f>
      </c>
      <c r="D9" s="2">
        <f>PL!E20</f>
      </c>
      <c r="E9" s="2">
        <f>PL!F20</f>
      </c>
      <c r="F9" s="2">
        <f>PL!G20</f>
      </c>
    </row>
    <row r="10">
      <c r="A10" t="str">
        <v>Owners' funds</v>
      </c>
      <c r="B10" s="2">
        <f>BS!C9</f>
      </c>
      <c r="C10" s="2">
        <f>BS!D9</f>
      </c>
      <c r="D10" s="2">
        <f>BS!E9</f>
      </c>
      <c r="E10" s="2">
        <f>BS!F9</f>
      </c>
      <c r="F10" s="2">
        <f>BS!G9</f>
      </c>
    </row>
    <row r="11">
      <c r="A11" t="str">
        <v>Current ratio</v>
      </c>
      <c r="B11" s="5">
        <f>Ratios!C9</f>
      </c>
      <c r="C11" s="5">
        <f>Ratios!D9</f>
      </c>
      <c r="D11" s="5">
        <f>Ratios!E9</f>
      </c>
      <c r="E11" s="5">
        <f>Ratios!F9</f>
      </c>
      <c r="F11" s="5">
        <f>Ratios!G9</f>
      </c>
    </row>
    <row r="12">
      <c r="A12" t="str">
        <v>TOL / TNW</v>
      </c>
      <c r="B12" s="5">
        <f>Ratios!C18</f>
      </c>
      <c r="C12" s="5">
        <f>Ratios!D18</f>
      </c>
      <c r="D12" s="5">
        <f>Ratios!E18</f>
      </c>
      <c r="E12" s="5">
        <f>Ratios!F18</f>
      </c>
      <c r="F12" s="5">
        <f>Ratios!G18</f>
      </c>
    </row>
    <row r="13">
      <c r="A13" t="str">
        <v>DSCR</v>
      </c>
      <c r="B13" s="5">
        <f>Ratios!C25</f>
      </c>
      <c r="C13" s="5">
        <f>Ratios!D25</f>
      </c>
      <c r="D13" s="5">
        <f>Ratios!E25</f>
      </c>
      <c r="E13" s="5">
        <f>Ratios!F25</f>
      </c>
      <c r="F13" s="5">
        <f>Ratios!G25</f>
      </c>
    </row>
    <row r="14">
      <c r="A14" t="str">
        <v>Balance-sheet check</v>
      </c>
      <c r="B14">
        <f>BS!C27</f>
      </c>
      <c r="C14">
        <f>BS!D27</f>
      </c>
      <c r="D14">
        <f>BS!E27</f>
      </c>
      <c r="E14">
        <f>BS!F27</f>
      </c>
      <c r="F14">
        <f>BS!G27</f>
      </c>
    </row>
    <row r="15">
      <c r="A15" t="str">
        <v>Basis of preparation and key assumptions</v>
      </c>
    </row>
    <row r="16">
      <c r="A16">
        <f>"Figures for "&amp;Assumptions!C8&amp;" are from the audited financial statements. "&amp;Assumptions!D8&amp;" is provisional (the year in progress). "&amp;Assumptions!E8&amp;" to "&amp;Assumptions!G8&amp;" are projections prepared by the management on the assumptions below."</f>
      </c>
    </row>
    <row r="17">
      <c r="A17">
        <f>"Sales growth: "&amp;TEXT(Assumptions!D43,"0%")&amp;", "&amp;TEXT(Assumptions!E43,"0%")&amp;", "&amp;TEXT(Assumptions!F43,"0%")&amp;" and "&amp;TEXT(Assumptions!G43,"0%")&amp;" over the four years."</f>
      </c>
    </row>
    <row r="18">
      <c r="A18">
        <f>"Cost structure (year 1): material "&amp;TEXT(Assumptions!D45,"0%")&amp;" of sales, direct expenses "&amp;TEXT(Assumptions!D46,"0%")&amp;", administrative and selling "&amp;TEXT(Assumptions!D48,"0%")&amp;"; employee cost growing "&amp;TEXT(Assumptions!D47,"0%")&amp;" a year."</f>
      </c>
    </row>
    <row r="19">
      <c r="A19">
        <f>"Working-capital cycle: inventory "&amp;Assumptions!D57&amp;" days of material cost, debtors "&amp;Assumptions!D58&amp;" days of sales, creditors "&amp;Assumptions!D59&amp;" days of material cost."</f>
      </c>
    </row>
    <row r="20">
      <c r="A20">
        <f>"Depreciation at "&amp;TEXT(Assumptions!D49,"0%")&amp;" (written-down value) on opening net block plus additions; capital expenditure of ₹"&amp;TEXT(Assumptions!D50,"#,##0")&amp;", ₹"&amp;TEXT(Assumptions!E50,"#,##0")&amp;", ₹"&amp;TEXT(Assumptions!F50,"#,##0")&amp;" and ₹"&amp;TEXT(Assumptions!G50,"#,##0")&amp;"."</f>
      </c>
    </row>
    <row r="21">
      <c r="A21">
        <f>"Term loans: interest "&amp;TEXT(Assumptions!D53,"0.0%")&amp;", principal repayments of ₹"&amp;TEXT(Assumptions!D52,"#,##0")&amp;", ₹"&amp;TEXT(Assumptions!E52,"#,##0")&amp;", ₹"&amp;TEXT(Assumptions!F52,"#,##0")&amp;" and ₹"&amp;TEXT(Assumptions!G52,"#,##0")&amp;". Cash credit: limit ₹"&amp;TEXT(Assumptions!D54,"#,##0")&amp;" rising to ₹"&amp;TEXT(Assumptions!G54,"#,##0")&amp;", interest "&amp;TEXT(Assumptions!D55,"0.0%")&amp;" on an assumed average utilisation of "&amp;TEXT(Assumptions!D56,"0%")&amp;". Bank working-capital finance is the balancing figure; cash and bank balances are held at a minimum of ₹"&amp;TEXT(Assumptions!D66,"#,##0")&amp;"."</f>
      </c>
    </row>
    <row r="22">
      <c r="A22">
        <f>"Income tax at the rates in force for tax year "&amp;MID(Assumptions!D8,4,20)&amp;" (Finance Act, 2026), assumed unchanged for later years; surcharge and loss set-off are not modelled."</f>
      </c>
    </row>
    <row r="24">
      <c r="A24" t="str">
        <v>Management's declaration</v>
      </c>
    </row>
    <row r="25">
      <c r="A25" t="str">
        <v>The assumptions above are the management's best estimates as at the date of preparation. Actual results are likely to differ from the projections because events and circumstances frequently do not occur as expected, and the difference may be material.</v>
      </c>
    </row>
    <row r="27">
      <c r="A27">
        <f>"For "&amp;Assumptions!C2</f>
      </c>
    </row>
    <row r="28">
      <c r="A28" t="str">
        <v>Proprietor / Partner / Director</v>
      </c>
    </row>
    <row r="29">
      <c r="A29" t="str">
        <v>Place: ____________   Date: ____________</v>
      </c>
    </row>
    <row r="32">
      <c r="A32" t="str">
        <v>Chartered Accountant's report — illustrative wording; use the paragraph that matches the engagement and adapt it before signing (SRS 4410 (Revised) Appendix 2 / SAE 3400 — VERIFY-WITH-CA)</v>
      </c>
    </row>
    <row r="33">
      <c r="A33" t="str">
        <v>A. Provisional statements — compilation report (SRS 4410 (Revised)):</v>
      </c>
    </row>
    <row r="34">
      <c r="A34">
        <f>"On the basis of the accounting records and other information and explanations provided to us, we have compiled the provisional balance sheet of "&amp;Assumptions!C2&amp;" as at 31 March "&amp;(Assumptions!C4+2)&amp;" and the provisional statement of profit and loss for the year then ended. The management is responsible for the accuracy and completeness of the underlying records and for these financial statements. We have not audited or reviewed these financial statements and accordingly express no opinion or conclusion on them. This compilation engagement was carried out in accordance with Standard on Related Services (SRS) 4410 (Revised), Compilation Engagements, issued by the Institute of Chartered Accountants of India."</f>
      </c>
    </row>
    <row r="36">
      <c r="A36" t="str">
        <v>B. Projected statements — report on prospective financial information (SAE 3400):</v>
      </c>
    </row>
    <row r="37">
      <c r="A37">
        <f>"We have examined the projected balance sheets and statements of profit and loss of "&amp;Assumptions!C2&amp;" for the years "&amp;Assumptions!E8&amp;" to "&amp;Assumptions!G8&amp;", prepared by the management on the basis of the assumptions set out above. The management is responsible for the projections, including the assumptions on which they are based. Our examination was conducted in accordance with Standard on Assurance Engagements (SAE) 3400, The Examination of Prospective Financial Information, issued by the Institute of Chartered Accountants of India, and included examination, on a test basis, of evidence supporting the assumptions. Based on our examination, nothing has come to our attention which causes us to believe that these assumptions do not provide a reasonable basis for the projections. In our opinion the projections are properly prepared on the basis of the assumptions and are presented consistently with the accounting policies of the entity. Actual results are likely to be different from the projections since anticipated events frequently do not occur as expected and the variation may be material. This report is intended solely for submission to "&amp;Assumptions!C5&amp;" and is not to be used for any other purpose."</f>
      </c>
    </row>
    <row r="39">
      <c r="A39" t="str">
        <v>For ____________________, Chartered Accountants · FRN ________</v>
      </c>
    </row>
    <row r="40">
      <c r="A40" t="str">
        <v>____________________ · Partner / Proprietor · Membership No. ________</v>
      </c>
    </row>
    <row r="41">
      <c r="A41" t="str">
        <v>UDIN: __________________ (generate within 60 days of signing) · Place: __________ · Date: __________</v>
      </c>
    </row>
    <row r="43">
      <c r="A43" t="str">
        <v>Never describe the projections as certified. Clause (3), Part I, Second Schedule, Chartered Accountants Act, 1949: a member who permits his name to be used with an estimate of earnings contingent upon future transactions in a manner which may lead to the belief that he vouches for the accuracy of the forecast is guilty of professional misconduct.</v>
      </c>
    </row>
    <row r="45">
      <c r="A45" t="str">
        <v>This workbook prepares provisional and projected financial statements from assumptions you enter. The projections are management's estimates; actual results will differ, possibly materially.</v>
      </c>
    </row>
    <row r="46">
      <c r="A46" t="str">
        <v>Tax is computed at the rates in force for tax year 2026-27 (Finance Act, 2026) and assumed unchanged; surcharge, loss set-off and the proprietor's other income are not modelled.</v>
      </c>
    </row>
    <row r="47">
      <c r="A47" t="str">
        <v>Bank benchmarks are typical norms, not law — match them to your sanction letter.</v>
      </c>
    </row>
    <row r="48">
      <c r="A48" t="str">
        <v>A Chartered Accountant reporting on these statements must comply with SRS 4410 (Revised) for the provisional year and SAE 3400 for the projected years, generate a UDIN, and must never describe the projections as certified.</v>
      </c>
    </row>
    <row r="49">
      <c r="A49" t="str">
        <v>Prepared using cakarangupta.com/tools — not a substitute for professional advice.</v>
      </c>
    </row>
  </sheetData>
  <pageMargins left="0.6" right="0.6" top="0.6" bottom="0.6" header="0.3" footer="0.3"/>
  <ignoredErrors>
    <ignoredError numberStoredAsText="1" sqref="A1:F4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README</vt:lpstr>
      <vt:lpstr>Assumptions</vt:lpstr>
      <vt:lpstr>PL</vt:lpstr>
      <vt:lpstr>BS</vt:lpstr>
      <vt:lpstr>Ratios</vt: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